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ew\Academy Monitoring 2018-2019\"/>
    </mc:Choice>
  </mc:AlternateContent>
  <bookViews>
    <workbookView xWindow="240" yWindow="405" windowWidth="21075" windowHeight="9675"/>
  </bookViews>
  <sheets>
    <sheet name="PP Exp 1819" sheetId="8" r:id="rId1"/>
    <sheet name="PP Expenditure Summary 1718 (2" sheetId="11" state="hidden" r:id="rId2"/>
    <sheet name="Breakfast Costings" sheetId="7" state="hidden" r:id="rId3"/>
    <sheet name="Staff" sheetId="9" state="hidden" r:id="rId4"/>
    <sheet name="Old" sheetId="10" state="hidden" r:id="rId5"/>
    <sheet name="PP Last year 15 16" sheetId="6" state="hidden" r:id="rId6"/>
  </sheets>
  <calcPr calcId="162913"/>
</workbook>
</file>

<file path=xl/calcChain.xml><?xml version="1.0" encoding="utf-8"?>
<calcChain xmlns="http://schemas.openxmlformats.org/spreadsheetml/2006/main">
  <c r="F25" i="8" l="1"/>
  <c r="F26" i="8" l="1"/>
  <c r="F11" i="10" l="1"/>
  <c r="H11" i="10" s="1"/>
  <c r="I11" i="10" s="1"/>
  <c r="K11" i="10" s="1"/>
  <c r="F10" i="10"/>
  <c r="H10" i="10" s="1"/>
  <c r="I10" i="10" s="1"/>
  <c r="K10" i="10" s="1"/>
  <c r="F28" i="8" l="1"/>
  <c r="F33" i="8"/>
  <c r="F7" i="10"/>
  <c r="H7" i="10" s="1"/>
  <c r="I7" i="10" s="1"/>
  <c r="K7" i="10" s="1"/>
  <c r="F8" i="10"/>
  <c r="H8" i="10" s="1"/>
  <c r="I8" i="10" s="1"/>
  <c r="K8" i="10" s="1"/>
  <c r="F4" i="10"/>
  <c r="F34" i="8"/>
  <c r="F31" i="8" l="1"/>
  <c r="O28" i="9"/>
  <c r="N28" i="9"/>
  <c r="F30" i="8"/>
  <c r="N32" i="9"/>
  <c r="N31" i="9"/>
  <c r="F7" i="8"/>
  <c r="I30" i="9" l="1"/>
  <c r="J30" i="9" s="1"/>
  <c r="K30" i="9" s="1"/>
  <c r="L30" i="9" s="1"/>
  <c r="I28" i="9"/>
  <c r="J28" i="9" s="1"/>
  <c r="K28" i="9" s="1"/>
  <c r="L28" i="9" s="1"/>
  <c r="I26" i="9"/>
  <c r="J26" i="9" s="1"/>
  <c r="N20" i="9"/>
  <c r="L20" i="9"/>
  <c r="F34" i="11"/>
  <c r="F31" i="11"/>
  <c r="F30" i="11"/>
  <c r="F28" i="11"/>
  <c r="F27" i="11"/>
  <c r="F26" i="11"/>
  <c r="F25" i="11"/>
  <c r="F7" i="11"/>
  <c r="K26" i="9" l="1"/>
  <c r="L26" i="9" s="1"/>
  <c r="N30" i="9" s="1"/>
  <c r="H6" i="7" l="1"/>
  <c r="I6" i="7" s="1"/>
  <c r="K6" i="7" s="1"/>
  <c r="I20" i="9" l="1"/>
  <c r="J20" i="9" s="1"/>
  <c r="K20" i="9" s="1"/>
  <c r="N18" i="9"/>
  <c r="I18" i="9"/>
  <c r="J18" i="9" s="1"/>
  <c r="K18" i="9" s="1"/>
  <c r="L18" i="9" s="1"/>
  <c r="I16" i="9"/>
  <c r="J16" i="9" s="1"/>
  <c r="K16" i="9" s="1"/>
  <c r="L16" i="9" s="1"/>
  <c r="J23" i="10"/>
  <c r="K23" i="10" s="1"/>
  <c r="L23" i="10" s="1"/>
  <c r="L25" i="10" s="1"/>
  <c r="L26" i="10" s="1"/>
  <c r="L27" i="10" s="1"/>
  <c r="F32" i="8" s="1"/>
  <c r="F13" i="10"/>
  <c r="H13" i="10" s="1"/>
  <c r="I13" i="10" s="1"/>
  <c r="K13" i="10" s="1"/>
  <c r="F6" i="10"/>
  <c r="H6" i="10" s="1"/>
  <c r="I6" i="10" s="1"/>
  <c r="K6" i="10" s="1"/>
  <c r="F5" i="10"/>
  <c r="H5" i="10" s="1"/>
  <c r="I5" i="10" s="1"/>
  <c r="K5" i="10" s="1"/>
  <c r="H4" i="10"/>
  <c r="I4" i="10" s="1"/>
  <c r="K4" i="10" s="1"/>
  <c r="N7" i="9"/>
  <c r="N9" i="9"/>
  <c r="K16" i="10" l="1"/>
  <c r="K18" i="10" s="1"/>
  <c r="K19" i="10" s="1"/>
  <c r="K20" i="10" s="1"/>
  <c r="F27" i="8" s="1"/>
  <c r="F32" i="11"/>
  <c r="F36" i="11" s="1"/>
  <c r="F38" i="11" s="1"/>
  <c r="I7" i="9"/>
  <c r="J7" i="9" s="1"/>
  <c r="K7" i="9" s="1"/>
  <c r="L7" i="9" s="1"/>
  <c r="I9" i="9"/>
  <c r="J9" i="9" s="1"/>
  <c r="K9" i="9" s="1"/>
  <c r="L9" i="9" s="1"/>
  <c r="I5" i="9"/>
  <c r="J5" i="9" s="1"/>
  <c r="K5" i="9" s="1"/>
  <c r="L5" i="9" s="1"/>
  <c r="I3" i="9"/>
  <c r="J3" i="9" s="1"/>
  <c r="K3" i="9" s="1"/>
  <c r="L3" i="9" s="1"/>
  <c r="F27" i="6" l="1"/>
  <c r="F25" i="6" l="1"/>
  <c r="F29" i="6"/>
  <c r="H16" i="7" l="1"/>
  <c r="I16" i="7" s="1"/>
  <c r="F11" i="7"/>
  <c r="H11" i="7" s="1"/>
  <c r="I11" i="7" s="1"/>
  <c r="K11" i="7" s="1"/>
  <c r="F5" i="7"/>
  <c r="H5" i="7" s="1"/>
  <c r="I5" i="7" s="1"/>
  <c r="K5" i="7" s="1"/>
  <c r="F7" i="7"/>
  <c r="H7" i="7" s="1"/>
  <c r="I7" i="7" s="1"/>
  <c r="K7" i="7" s="1"/>
  <c r="F4" i="7"/>
  <c r="H4" i="7" s="1"/>
  <c r="I4" i="7" s="1"/>
  <c r="K4" i="7" s="1"/>
  <c r="F15" i="7"/>
  <c r="H15" i="7" s="1"/>
  <c r="I15" i="7" s="1"/>
  <c r="K15" i="7" s="1"/>
  <c r="K18" i="7" l="1"/>
  <c r="K20" i="7" s="1"/>
  <c r="F35" i="8" s="1"/>
  <c r="F37" i="8" s="1"/>
  <c r="F35" i="6"/>
  <c r="F37" i="6" s="1"/>
</calcChain>
</file>

<file path=xl/sharedStrings.xml><?xml version="1.0" encoding="utf-8"?>
<sst xmlns="http://schemas.openxmlformats.org/spreadsheetml/2006/main" count="207" uniqueCount="121">
  <si>
    <t>DESCRIPTION</t>
  </si>
  <si>
    <t>Breakfast/Lunch &amp; After School Clubs</t>
  </si>
  <si>
    <t>Individual Student Resources</t>
  </si>
  <si>
    <t>Total Pupil Premium Expenditure</t>
  </si>
  <si>
    <t>One To One Intervention Support</t>
  </si>
  <si>
    <t>Staffing and resources</t>
  </si>
  <si>
    <t>The funding has risen considerably due to a push by the school to encourage parents and carers to register their entitlement for Free School Meals</t>
  </si>
  <si>
    <t>• An allocation of £935 per student eligible for free school meals (including Ever 6s);</t>
  </si>
  <si>
    <t>• A grant of £1900 for children who have been looked after continuously for more than six months and children adopted from care;</t>
  </si>
  <si>
    <t>• A Service Child Premium of £300 for children whose parents are in the armed forces;</t>
  </si>
  <si>
    <t>• An additional £500 for each year 7 pupil who did not achieve at least level 4 in reading and/or maths at the end of key stage 2.</t>
  </si>
  <si>
    <t>2014 -15 Budget</t>
  </si>
  <si>
    <t>AMOUNT £</t>
  </si>
  <si>
    <t>Balance to carry forward</t>
  </si>
  <si>
    <t>Morning Clubs</t>
  </si>
  <si>
    <t>TA's</t>
  </si>
  <si>
    <t>Break</t>
  </si>
  <si>
    <t>After School</t>
  </si>
  <si>
    <t>6th former</t>
  </si>
  <si>
    <t>Daily</t>
  </si>
  <si>
    <t>Weekly</t>
  </si>
  <si>
    <t>Cost Per wk</t>
  </si>
  <si>
    <t>Mins</t>
  </si>
  <si>
    <t>Days per wk</t>
  </si>
  <si>
    <t>Mins Per wk</t>
  </si>
  <si>
    <t>Hours per wk</t>
  </si>
  <si>
    <t>x 38 weeks</t>
  </si>
  <si>
    <t>Music Fees</t>
  </si>
  <si>
    <t>Coaching &amp; Mentoring</t>
  </si>
  <si>
    <t>Dyslexia, Literacy &amp; English</t>
  </si>
  <si>
    <t>Additional TA's &amp;  Support in the class room</t>
  </si>
  <si>
    <t>Improving reading &amp; spelling through one to one and group coaching</t>
  </si>
  <si>
    <t>Online Resources &amp; IT support</t>
  </si>
  <si>
    <t>Staffing and resources, Future Hope assessment &amp; mentoring</t>
  </si>
  <si>
    <t xml:space="preserve">Year 7 Catch Up Premium </t>
  </si>
  <si>
    <t>CHAUNCY PUPIL PREMIUM SUMMARY 15/16</t>
  </si>
  <si>
    <t>ACADEMIC YEAR FUNDING 15/16</t>
  </si>
  <si>
    <t>FINACIAL YEAR FUNDING 15/16</t>
  </si>
  <si>
    <t>In 2015-16 we will receive:</t>
  </si>
  <si>
    <t>Pupil Premium projected income and expenditure Sept 2015 to August 2016</t>
  </si>
  <si>
    <t>21 Students receiving music lessons full or part funded reducing to 14 in Summer Term</t>
  </si>
  <si>
    <t>This will give us a total allocation for 2015-16 in the region of £181,333</t>
  </si>
  <si>
    <t>In 2015/2016 there were 182 pupils eligible for funding based on the January 2015 census</t>
  </si>
  <si>
    <t>Our resources were invested in the following areas:</t>
  </si>
  <si>
    <t>Additonal teaching support in English and Maths. Reduced Class sizes and small groups</t>
  </si>
  <si>
    <t>Pastoral support officer &amp; Mentoring coach</t>
  </si>
  <si>
    <t>Trip Support/ Basketball Camp/Uniform/ICT Equipment/Basket Ball Coaching/psychological services intervention/Travel/ Text Books &amp; revision guides</t>
  </si>
  <si>
    <t>Doddle and other online resources</t>
  </si>
  <si>
    <t>Teaching assistant support in the class room</t>
  </si>
  <si>
    <t>Sarah Davies</t>
  </si>
  <si>
    <t>H84</t>
  </si>
  <si>
    <t>Wks</t>
  </si>
  <si>
    <t>Hours</t>
  </si>
  <si>
    <t>Mandy Overton</t>
  </si>
  <si>
    <t>H74</t>
  </si>
  <si>
    <t>Michelle Jobson</t>
  </si>
  <si>
    <t>Maria Ingrao</t>
  </si>
  <si>
    <t>H71</t>
  </si>
  <si>
    <t>Per Day Mins</t>
  </si>
  <si>
    <t>TA Cost per Year</t>
  </si>
  <si>
    <t>wks</t>
  </si>
  <si>
    <t>Hrs</t>
  </si>
  <si>
    <t>Annual</t>
  </si>
  <si>
    <t>Karen Silver</t>
  </si>
  <si>
    <t>Maria gone now remove for next</t>
  </si>
  <si>
    <t>GCSE Revision Classes in the holidays</t>
  </si>
  <si>
    <t>Tutoring by 6th form students for year 11</t>
  </si>
  <si>
    <t>Staffing costs to create smaller classes</t>
  </si>
  <si>
    <t>Additional staffing in Yr 8/9/10/11 to create smaller classes for middle ability students and smaller classes in English, Maths &amp; Science</t>
  </si>
  <si>
    <t>Trip Support/ Uniform/ICT Equipment/Sports Coaching/Psychological services intervention/Travel/ Text books &amp; revision guides/Future Hope assessment mentoring</t>
  </si>
  <si>
    <t>Doddle and other online resources SAM Learning/My Maths/Maths Watch and Kerboodle</t>
  </si>
  <si>
    <t>Additional TAs &amp;  Support in the class room</t>
  </si>
  <si>
    <t>Pupil Premium projected income and expenditure Sept 2017 to August 2018</t>
  </si>
  <si>
    <t>CHAUNCY PUPIL PREMIUM SUMMARY 17/18</t>
  </si>
  <si>
    <t>FINACIAL YEAR FUNDING 17/18</t>
  </si>
  <si>
    <t>ACADEMIC YEAR FUNDING 17/18</t>
  </si>
  <si>
    <t>H44</t>
  </si>
  <si>
    <t>2017/2018</t>
  </si>
  <si>
    <t>H73</t>
  </si>
  <si>
    <t>H92</t>
  </si>
  <si>
    <t>Staffing costs for individual one to one mentoring, TA one to one and sixth form helpers</t>
  </si>
  <si>
    <t>Based on H44 Rate £10.58 per hour</t>
  </si>
  <si>
    <t xml:space="preserve">Payment to staff for holiday GCSE revision sessions Easter &amp; May </t>
  </si>
  <si>
    <t>2017 -18 Actual</t>
  </si>
  <si>
    <t>Disadvantaged Pupils</t>
  </si>
  <si>
    <t>Pupil Premium Per Pupil</t>
  </si>
  <si>
    <t>Children who have ceased to be looked after by a local authority because of adoption, a special guardianship order a child</t>
  </si>
  <si>
    <t>arrangements order or residence order</t>
  </si>
  <si>
    <t>Pupils in years 7 to 11 recorded as Ever 6 Free School Meals (FSM)</t>
  </si>
  <si>
    <t>Rates for Eligible Pupils 2017/2018 :-</t>
  </si>
  <si>
    <t>Looked after children (LAC) defined in Children Act 1989 as one who is in care of, provided with accommodation by local authority</t>
  </si>
  <si>
    <t>Pupils in years 7 to 11 recorded as Ever 6 service child or in receipt of child pension from the Ministry of Defence</t>
  </si>
  <si>
    <t>This gave us a total allocation for 2017-18 in the region of £ 167,365</t>
  </si>
  <si>
    <t>Annual FT</t>
  </si>
  <si>
    <t>Morning Clubs and Break</t>
  </si>
  <si>
    <t>Staffing and resources for Rise &amp; Read/Lexia/Reading plus/Early Einstein/Maths Factor</t>
  </si>
  <si>
    <t xml:space="preserve">49 Students receiving music lessons full or part funded </t>
  </si>
  <si>
    <t xml:space="preserve">Additional teaching support in English and Maths. Reduced Class sizes and small groups </t>
  </si>
  <si>
    <t>In 2017/2018 in total 179 pupils were eligible for funding based on the January 2017 census</t>
  </si>
  <si>
    <t>CHAUNCY PUPIL PREMIUM SUMMARY 18/19</t>
  </si>
  <si>
    <t>ACADEMIC YEAR FUNDING 18/19</t>
  </si>
  <si>
    <t>Rates for Eligible Pupils 2018/2019 :-</t>
  </si>
  <si>
    <t>Pupil Premium projected income and expenditure Sept 2018 to August 2019</t>
  </si>
  <si>
    <t>2018/2019</t>
  </si>
  <si>
    <t>2018 -19 Actual</t>
  </si>
  <si>
    <t>This gave us a total allocation for 2018-19 in the region of £ 165,495</t>
  </si>
  <si>
    <t>In 2018/2019 in total 177 pupils were eligible for funding based on the January 2018 census</t>
  </si>
  <si>
    <t>H75</t>
  </si>
  <si>
    <t>H93</t>
  </si>
  <si>
    <t>On costs</t>
  </si>
  <si>
    <t>Plus on costs</t>
  </si>
  <si>
    <t>Based on H44 Rate £10.86 per hour</t>
  </si>
  <si>
    <t>25% on costs</t>
  </si>
  <si>
    <t xml:space="preserve">2018/2019 x 2 TA's </t>
  </si>
  <si>
    <t>On Costs</t>
  </si>
  <si>
    <t>Total cost per week</t>
  </si>
  <si>
    <t>daily</t>
  </si>
  <si>
    <t>6th form</t>
  </si>
  <si>
    <t xml:space="preserve">49 music lessons full or part funded </t>
  </si>
  <si>
    <t>Staffing costs for individual one to one mentoring £9548 , sixth form helpers £10,360 and TA one to one support</t>
  </si>
  <si>
    <t>FINANCIAL YEAR FUNDING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</si>
</sst>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2" fillId="0" borderId="0" xfId="0" applyFont="1"/>
    <xf numFmtId="164" fontId="0" fillId="0" borderId="0" xfId="1" applyNumberFormat="1" applyFont="1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5" fillId="0" borderId="0" xfId="1" applyNumberFormat="1" applyFont="1"/>
    <xf numFmtId="0" fontId="9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8" fillId="0" borderId="8" xfId="0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3" fillId="0" borderId="2" xfId="0" applyFont="1" applyBorder="1"/>
    <xf numFmtId="44" fontId="9" fillId="0" borderId="2" xfId="1" applyFont="1" applyBorder="1"/>
    <xf numFmtId="0" fontId="9" fillId="0" borderId="7" xfId="0" applyFont="1" applyBorder="1"/>
    <xf numFmtId="0" fontId="9" fillId="0" borderId="8" xfId="0" applyFont="1" applyBorder="1"/>
    <xf numFmtId="44" fontId="9" fillId="0" borderId="8" xfId="1" applyFont="1" applyBorder="1"/>
    <xf numFmtId="44" fontId="9" fillId="0" borderId="6" xfId="1" applyFont="1" applyBorder="1"/>
    <xf numFmtId="0" fontId="9" fillId="0" borderId="9" xfId="0" applyFont="1" applyBorder="1"/>
    <xf numFmtId="0" fontId="3" fillId="0" borderId="1" xfId="0" applyFont="1" applyFill="1" applyBorder="1"/>
    <xf numFmtId="164" fontId="3" fillId="0" borderId="5" xfId="0" applyNumberFormat="1" applyFont="1" applyBorder="1"/>
    <xf numFmtId="164" fontId="9" fillId="0" borderId="0" xfId="0" applyNumberFormat="1" applyFont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164" fontId="2" fillId="2" borderId="4" xfId="1" applyNumberFormat="1" applyFont="1" applyFill="1" applyBorder="1"/>
    <xf numFmtId="164" fontId="9" fillId="0" borderId="6" xfId="1" applyNumberFormat="1" applyFont="1" applyBorder="1"/>
    <xf numFmtId="44" fontId="0" fillId="0" borderId="0" xfId="1" applyFont="1"/>
    <xf numFmtId="2" fontId="0" fillId="0" borderId="0" xfId="0" applyNumberFormat="1"/>
    <xf numFmtId="164" fontId="9" fillId="0" borderId="6" xfId="1" applyNumberFormat="1" applyFont="1" applyBorder="1" applyAlignment="1">
      <alignment horizontal="right"/>
    </xf>
    <xf numFmtId="44" fontId="0" fillId="0" borderId="0" xfId="0" applyNumberFormat="1"/>
    <xf numFmtId="44" fontId="0" fillId="4" borderId="0" xfId="1" applyFont="1" applyFill="1"/>
    <xf numFmtId="0" fontId="9" fillId="0" borderId="0" xfId="0" applyFont="1" applyBorder="1"/>
    <xf numFmtId="0" fontId="0" fillId="0" borderId="0" xfId="0" applyBorder="1"/>
    <xf numFmtId="0" fontId="0" fillId="0" borderId="10" xfId="0" applyBorder="1"/>
    <xf numFmtId="0" fontId="9" fillId="0" borderId="11" xfId="0" applyFont="1" applyBorder="1"/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0" borderId="3" xfId="0" applyBorder="1"/>
    <xf numFmtId="164" fontId="9" fillId="0" borderId="13" xfId="1" applyNumberFormat="1" applyFont="1" applyBorder="1"/>
    <xf numFmtId="0" fontId="0" fillId="0" borderId="13" xfId="0" applyBorder="1"/>
    <xf numFmtId="164" fontId="9" fillId="0" borderId="14" xfId="1" applyNumberFormat="1" applyFont="1" applyBorder="1"/>
    <xf numFmtId="0" fontId="2" fillId="0" borderId="2" xfId="0" applyFont="1" applyBorder="1"/>
    <xf numFmtId="0" fontId="3" fillId="0" borderId="0" xfId="0" applyFont="1"/>
    <xf numFmtId="0" fontId="2" fillId="0" borderId="5" xfId="0" applyFont="1" applyBorder="1" applyAlignment="1">
      <alignment wrapText="1"/>
    </xf>
    <xf numFmtId="0" fontId="0" fillId="2" borderId="0" xfId="0" applyFill="1"/>
    <xf numFmtId="44" fontId="0" fillId="0" borderId="2" xfId="0" applyNumberFormat="1" applyBorder="1"/>
    <xf numFmtId="44" fontId="0" fillId="2" borderId="4" xfId="1" applyFont="1" applyFill="1" applyBorder="1"/>
    <xf numFmtId="44" fontId="0" fillId="0" borderId="4" xfId="0" applyNumberFormat="1" applyBorder="1"/>
    <xf numFmtId="164" fontId="0" fillId="2" borderId="4" xfId="0" applyNumberFormat="1" applyFill="1" applyBorder="1"/>
    <xf numFmtId="9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44"/>
  <sheetViews>
    <sheetView tabSelected="1" workbookViewId="0">
      <selection activeCell="F24" sqref="F24"/>
    </sheetView>
  </sheetViews>
  <sheetFormatPr defaultRowHeight="15" x14ac:dyDescent="0.25"/>
  <cols>
    <col min="1" max="1" width="4.5703125" customWidth="1"/>
    <col min="2" max="2" width="19.140625" customWidth="1"/>
    <col min="4" max="4" width="14.42578125" customWidth="1"/>
    <col min="5" max="5" width="17.28515625" customWidth="1"/>
    <col min="6" max="6" width="18.5703125" customWidth="1"/>
    <col min="7" max="7" width="83.85546875" customWidth="1"/>
    <col min="8" max="8" width="3.7109375" customWidth="1"/>
  </cols>
  <sheetData>
    <row r="3" spans="2:7" ht="23.25" x14ac:dyDescent="0.35">
      <c r="B3" s="6" t="s">
        <v>99</v>
      </c>
    </row>
    <row r="5" spans="2:7" ht="21" x14ac:dyDescent="0.35">
      <c r="B5" s="5" t="s">
        <v>120</v>
      </c>
      <c r="C5" s="5"/>
      <c r="D5" s="5"/>
      <c r="E5" s="7"/>
      <c r="F5" s="8">
        <v>165495</v>
      </c>
    </row>
    <row r="6" spans="2:7" ht="21" x14ac:dyDescent="0.35">
      <c r="B6" s="5"/>
      <c r="C6" s="5"/>
      <c r="D6" s="5"/>
      <c r="E6" s="7"/>
      <c r="F6" s="7"/>
    </row>
    <row r="7" spans="2:7" ht="21" x14ac:dyDescent="0.35">
      <c r="B7" s="5" t="s">
        <v>100</v>
      </c>
      <c r="C7" s="5"/>
      <c r="D7" s="5"/>
      <c r="E7" s="7"/>
      <c r="F7" s="8">
        <f>161783.33+31590.83</f>
        <v>193374.15999999997</v>
      </c>
    </row>
    <row r="8" spans="2:7" ht="21" x14ac:dyDescent="0.35">
      <c r="B8" s="7"/>
      <c r="C8" s="7"/>
      <c r="D8" s="7"/>
      <c r="E8" s="7"/>
      <c r="F8" s="7"/>
    </row>
    <row r="9" spans="2:7" ht="18.75" x14ac:dyDescent="0.3">
      <c r="B9" s="49" t="s">
        <v>101</v>
      </c>
    </row>
    <row r="10" spans="2:7" ht="30" x14ac:dyDescent="0.25">
      <c r="B10" s="50" t="s">
        <v>85</v>
      </c>
      <c r="C10" s="48" t="s">
        <v>84</v>
      </c>
      <c r="D10" s="48"/>
      <c r="E10" s="43"/>
      <c r="F10" s="43"/>
      <c r="G10" s="44"/>
    </row>
    <row r="11" spans="2:7" ht="18.75" x14ac:dyDescent="0.3">
      <c r="B11" s="31">
        <v>935</v>
      </c>
      <c r="C11" s="37" t="s">
        <v>88</v>
      </c>
      <c r="D11" s="38"/>
      <c r="E11" s="38"/>
      <c r="F11" s="38"/>
      <c r="G11" s="39"/>
    </row>
    <row r="12" spans="2:7" ht="18.75" x14ac:dyDescent="0.3">
      <c r="B12" s="45">
        <v>1900</v>
      </c>
      <c r="C12" s="37" t="s">
        <v>90</v>
      </c>
      <c r="D12" s="38"/>
      <c r="E12" s="38"/>
      <c r="F12" s="38"/>
      <c r="G12" s="39"/>
    </row>
    <row r="13" spans="2:7" ht="18.75" x14ac:dyDescent="0.3">
      <c r="B13" s="45">
        <v>1900</v>
      </c>
      <c r="C13" s="37" t="s">
        <v>86</v>
      </c>
      <c r="D13" s="38"/>
      <c r="E13" s="38"/>
      <c r="F13" s="38"/>
      <c r="G13" s="39"/>
    </row>
    <row r="14" spans="2:7" ht="18.75" x14ac:dyDescent="0.3">
      <c r="B14" s="46"/>
      <c r="C14" s="37" t="s">
        <v>87</v>
      </c>
      <c r="D14" s="38"/>
      <c r="E14" s="38"/>
      <c r="F14" s="38"/>
      <c r="G14" s="39"/>
    </row>
    <row r="15" spans="2:7" ht="18.75" x14ac:dyDescent="0.3">
      <c r="B15" s="47">
        <v>300</v>
      </c>
      <c r="C15" s="40" t="s">
        <v>91</v>
      </c>
      <c r="D15" s="41"/>
      <c r="E15" s="41"/>
      <c r="F15" s="41"/>
      <c r="G15" s="42"/>
    </row>
    <row r="16" spans="2:7" ht="18.75" x14ac:dyDescent="0.3">
      <c r="B16" s="9"/>
      <c r="C16" s="9"/>
    </row>
    <row r="17" spans="2:9" ht="18.75" x14ac:dyDescent="0.3">
      <c r="B17" s="9" t="s">
        <v>106</v>
      </c>
      <c r="C17" s="9"/>
    </row>
    <row r="18" spans="2:9" ht="18.75" x14ac:dyDescent="0.3">
      <c r="B18" s="9" t="s">
        <v>105</v>
      </c>
      <c r="C18" s="9"/>
    </row>
    <row r="19" spans="2:9" ht="18.75" x14ac:dyDescent="0.3">
      <c r="B19" s="9" t="s">
        <v>43</v>
      </c>
      <c r="C19" s="9"/>
    </row>
    <row r="20" spans="2:9" ht="18.75" x14ac:dyDescent="0.3">
      <c r="C20" s="9"/>
    </row>
    <row r="21" spans="2:9" ht="23.25" x14ac:dyDescent="0.35">
      <c r="B21" s="6" t="s">
        <v>102</v>
      </c>
      <c r="C21" s="9"/>
    </row>
    <row r="22" spans="2:9" ht="10.5" customHeight="1" x14ac:dyDescent="0.3">
      <c r="B22" s="9"/>
      <c r="C22" s="9"/>
      <c r="D22" s="9"/>
      <c r="E22" s="9"/>
      <c r="F22" s="9"/>
      <c r="G22" s="9"/>
      <c r="H22" s="9"/>
      <c r="I22" s="9"/>
    </row>
    <row r="23" spans="2:9" ht="36" customHeight="1" x14ac:dyDescent="0.3">
      <c r="B23" s="28" t="s">
        <v>104</v>
      </c>
      <c r="C23" s="26"/>
      <c r="D23" s="26"/>
      <c r="E23" s="27"/>
      <c r="F23" s="29" t="s">
        <v>12</v>
      </c>
      <c r="G23" s="26" t="s">
        <v>0</v>
      </c>
      <c r="H23" s="27"/>
      <c r="I23" s="9"/>
    </row>
    <row r="24" spans="2:9" ht="33" customHeight="1" x14ac:dyDescent="0.3">
      <c r="B24" s="13" t="s">
        <v>34</v>
      </c>
      <c r="C24" s="14"/>
      <c r="D24" s="14"/>
      <c r="E24" s="14"/>
      <c r="F24" s="31">
        <v>18720</v>
      </c>
      <c r="G24" s="11" t="s">
        <v>97</v>
      </c>
      <c r="H24" s="15"/>
      <c r="I24" s="9"/>
    </row>
    <row r="25" spans="2:9" ht="36.75" customHeight="1" x14ac:dyDescent="0.3">
      <c r="B25" s="13" t="s">
        <v>67</v>
      </c>
      <c r="C25" s="14"/>
      <c r="D25" s="14"/>
      <c r="E25" s="14"/>
      <c r="F25" s="31">
        <f>(21840+26520+29500+23400)/1039*177</f>
        <v>17250.259865255055</v>
      </c>
      <c r="G25" s="11" t="s">
        <v>68</v>
      </c>
      <c r="H25" s="15"/>
      <c r="I25" s="9"/>
    </row>
    <row r="26" spans="2:9" ht="38.25" customHeight="1" x14ac:dyDescent="0.3">
      <c r="B26" s="13" t="s">
        <v>4</v>
      </c>
      <c r="C26" s="14"/>
      <c r="D26" s="17"/>
      <c r="E26" s="14"/>
      <c r="F26" s="31">
        <f>7272+2276+10360+2000</f>
        <v>21908</v>
      </c>
      <c r="G26" s="11" t="s">
        <v>119</v>
      </c>
      <c r="H26" s="15"/>
      <c r="I26" s="9"/>
    </row>
    <row r="27" spans="2:9" ht="24.95" customHeight="1" x14ac:dyDescent="0.3">
      <c r="B27" s="13" t="s">
        <v>94</v>
      </c>
      <c r="C27" s="14"/>
      <c r="D27" s="17"/>
      <c r="E27" s="14"/>
      <c r="F27" s="31">
        <f>+Old!K20</f>
        <v>15788.604166666668</v>
      </c>
      <c r="G27" s="10" t="s">
        <v>95</v>
      </c>
      <c r="H27" s="15"/>
      <c r="I27" s="9"/>
    </row>
    <row r="28" spans="2:9" ht="45.75" customHeight="1" x14ac:dyDescent="0.3">
      <c r="B28" s="13" t="s">
        <v>2</v>
      </c>
      <c r="C28" s="14"/>
      <c r="D28" s="17"/>
      <c r="E28" s="14"/>
      <c r="F28" s="31">
        <f>6690.87+1025</f>
        <v>7715.87</v>
      </c>
      <c r="G28" s="11" t="s">
        <v>69</v>
      </c>
      <c r="H28" s="15"/>
      <c r="I28" s="9"/>
    </row>
    <row r="29" spans="2:9" ht="24.95" customHeight="1" x14ac:dyDescent="0.3">
      <c r="B29" s="18" t="s">
        <v>27</v>
      </c>
      <c r="C29" s="19"/>
      <c r="D29" s="20"/>
      <c r="E29" s="19"/>
      <c r="F29" s="31">
        <v>6999.2</v>
      </c>
      <c r="G29" s="12" t="s">
        <v>118</v>
      </c>
      <c r="H29" s="22"/>
      <c r="I29" s="9"/>
    </row>
    <row r="30" spans="2:9" ht="24.95" customHeight="1" x14ac:dyDescent="0.3">
      <c r="B30" s="18" t="s">
        <v>28</v>
      </c>
      <c r="C30" s="19"/>
      <c r="D30" s="20"/>
      <c r="E30" s="19"/>
      <c r="F30" s="31">
        <f>+Staff!N32</f>
        <v>50461.645658949317</v>
      </c>
      <c r="G30" s="12" t="s">
        <v>45</v>
      </c>
      <c r="H30" s="22"/>
      <c r="I30" s="9"/>
    </row>
    <row r="31" spans="2:9" ht="24.95" customHeight="1" x14ac:dyDescent="0.3">
      <c r="B31" s="18" t="s">
        <v>29</v>
      </c>
      <c r="C31" s="19"/>
      <c r="D31" s="20"/>
      <c r="E31" s="19"/>
      <c r="F31" s="31">
        <f>+Staff!O28</f>
        <v>30180.184547069359</v>
      </c>
      <c r="G31" s="12" t="s">
        <v>31</v>
      </c>
      <c r="H31" s="22"/>
      <c r="I31" s="9"/>
    </row>
    <row r="32" spans="2:9" ht="24.95" customHeight="1" x14ac:dyDescent="0.3">
      <c r="B32" s="18" t="s">
        <v>71</v>
      </c>
      <c r="C32" s="19"/>
      <c r="D32" s="20"/>
      <c r="E32" s="19"/>
      <c r="F32" s="31">
        <f>+Old!L27</f>
        <v>37587.395285366481</v>
      </c>
      <c r="G32" s="12" t="s">
        <v>48</v>
      </c>
      <c r="H32" s="22"/>
      <c r="I32" s="9"/>
    </row>
    <row r="33" spans="2:9" ht="24.95" customHeight="1" x14ac:dyDescent="0.3">
      <c r="B33" s="18" t="s">
        <v>32</v>
      </c>
      <c r="C33" s="19"/>
      <c r="D33" s="20"/>
      <c r="E33" s="19"/>
      <c r="F33" s="31">
        <f>(5300+2800+750+600+800)</f>
        <v>10250</v>
      </c>
      <c r="G33" s="12" t="s">
        <v>70</v>
      </c>
      <c r="H33" s="22"/>
      <c r="I33" s="9"/>
    </row>
    <row r="34" spans="2:9" ht="24.95" customHeight="1" x14ac:dyDescent="0.3">
      <c r="B34" s="18" t="s">
        <v>65</v>
      </c>
      <c r="C34" s="19"/>
      <c r="D34" s="20"/>
      <c r="E34" s="19"/>
      <c r="F34" s="31">
        <f>2250+500+688</f>
        <v>3438</v>
      </c>
      <c r="G34" s="12" t="s">
        <v>82</v>
      </c>
      <c r="H34" s="22"/>
      <c r="I34" s="9"/>
    </row>
    <row r="35" spans="2:9" ht="24.95" customHeight="1" x14ac:dyDescent="0.3">
      <c r="B35" s="23" t="s">
        <v>3</v>
      </c>
      <c r="C35" s="16"/>
      <c r="D35" s="16"/>
      <c r="E35" s="16"/>
      <c r="F35" s="24">
        <f>SUM(F23:F34)</f>
        <v>220299.15952330688</v>
      </c>
      <c r="G35" s="13"/>
      <c r="H35" s="15"/>
      <c r="I35" s="9"/>
    </row>
    <row r="36" spans="2:9" ht="24.95" customHeight="1" x14ac:dyDescent="0.3">
      <c r="B36" s="9"/>
      <c r="C36" s="9"/>
      <c r="D36" s="9"/>
      <c r="E36" s="9"/>
      <c r="F36" s="9"/>
      <c r="G36" s="9"/>
      <c r="H36" s="9"/>
      <c r="I36" s="9"/>
    </row>
    <row r="37" spans="2:9" ht="24.95" customHeight="1" x14ac:dyDescent="0.3">
      <c r="B37" s="9" t="s">
        <v>13</v>
      </c>
      <c r="C37" s="9"/>
      <c r="D37" s="9"/>
      <c r="E37" s="9"/>
      <c r="F37" s="25">
        <f>+F5-F35</f>
        <v>-54804.15952330688</v>
      </c>
      <c r="G37" s="9"/>
      <c r="H37" s="9"/>
      <c r="I37" s="9"/>
    </row>
    <row r="38" spans="2:9" ht="24.95" customHeight="1" x14ac:dyDescent="0.3">
      <c r="B38" s="9"/>
      <c r="C38" s="9"/>
      <c r="D38" s="9"/>
      <c r="E38" s="9"/>
      <c r="F38" s="9"/>
      <c r="G38" s="9"/>
      <c r="H38" s="9"/>
      <c r="I38" s="9"/>
    </row>
    <row r="39" spans="2:9" ht="24.95" customHeight="1" x14ac:dyDescent="0.3">
      <c r="B39" s="9"/>
      <c r="C39" s="9"/>
      <c r="D39" s="9"/>
      <c r="E39" s="9"/>
      <c r="F39" s="9"/>
      <c r="G39" s="9"/>
      <c r="H39" s="9"/>
      <c r="I39" s="9"/>
    </row>
    <row r="40" spans="2:9" ht="24.95" customHeight="1" x14ac:dyDescent="0.25"/>
    <row r="41" spans="2:9" ht="24.95" customHeight="1" x14ac:dyDescent="0.25"/>
    <row r="42" spans="2:9" ht="24.95" customHeight="1" x14ac:dyDescent="0.25"/>
    <row r="43" spans="2:9" ht="24.95" customHeight="1" x14ac:dyDescent="0.25"/>
    <row r="44" spans="2:9" ht="24.95" customHeight="1" x14ac:dyDescent="0.25"/>
  </sheetData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45"/>
  <sheetViews>
    <sheetView topLeftCell="A22" workbookViewId="0">
      <selection activeCell="F25" sqref="F25"/>
    </sheetView>
  </sheetViews>
  <sheetFormatPr defaultRowHeight="15" x14ac:dyDescent="0.25"/>
  <cols>
    <col min="1" max="1" width="4.5703125" customWidth="1"/>
    <col min="2" max="2" width="19.140625" customWidth="1"/>
    <col min="4" max="4" width="14.42578125" customWidth="1"/>
    <col min="5" max="5" width="17.28515625" customWidth="1"/>
    <col min="6" max="6" width="18.5703125" customWidth="1"/>
    <col min="7" max="7" width="83.85546875" customWidth="1"/>
    <col min="8" max="8" width="3.7109375" customWidth="1"/>
  </cols>
  <sheetData>
    <row r="3" spans="2:7" ht="23.25" x14ac:dyDescent="0.35">
      <c r="B3" s="6" t="s">
        <v>73</v>
      </c>
    </row>
    <row r="5" spans="2:7" ht="21" x14ac:dyDescent="0.35">
      <c r="B5" s="5" t="s">
        <v>74</v>
      </c>
      <c r="C5" s="5"/>
      <c r="D5" s="5"/>
      <c r="E5" s="7"/>
      <c r="F5" s="8">
        <v>167365</v>
      </c>
    </row>
    <row r="6" spans="2:7" ht="21" x14ac:dyDescent="0.35">
      <c r="B6" s="5"/>
      <c r="C6" s="5"/>
      <c r="D6" s="5"/>
      <c r="E6" s="7"/>
      <c r="F6" s="7"/>
    </row>
    <row r="7" spans="2:7" ht="21" x14ac:dyDescent="0.35">
      <c r="B7" s="5" t="s">
        <v>75</v>
      </c>
      <c r="C7" s="5"/>
      <c r="D7" s="5"/>
      <c r="E7" s="7"/>
      <c r="F7" s="8">
        <f>180196.25</f>
        <v>180196.25</v>
      </c>
    </row>
    <row r="8" spans="2:7" ht="21" x14ac:dyDescent="0.35">
      <c r="B8" s="7"/>
      <c r="C8" s="7"/>
      <c r="D8" s="7"/>
      <c r="E8" s="7"/>
      <c r="F8" s="7"/>
    </row>
    <row r="9" spans="2:7" ht="18.75" x14ac:dyDescent="0.3">
      <c r="B9" s="49" t="s">
        <v>89</v>
      </c>
    </row>
    <row r="10" spans="2:7" ht="30" x14ac:dyDescent="0.25">
      <c r="B10" s="50" t="s">
        <v>85</v>
      </c>
      <c r="C10" s="48" t="s">
        <v>84</v>
      </c>
      <c r="D10" s="48"/>
      <c r="E10" s="43"/>
      <c r="F10" s="43"/>
      <c r="G10" s="44"/>
    </row>
    <row r="11" spans="2:7" ht="18.75" x14ac:dyDescent="0.3">
      <c r="B11" s="31">
        <v>935</v>
      </c>
      <c r="C11" s="37" t="s">
        <v>88</v>
      </c>
      <c r="D11" s="38"/>
      <c r="E11" s="38"/>
      <c r="F11" s="38"/>
      <c r="G11" s="39"/>
    </row>
    <row r="12" spans="2:7" ht="18.75" x14ac:dyDescent="0.3">
      <c r="B12" s="45">
        <v>1900</v>
      </c>
      <c r="C12" s="37" t="s">
        <v>90</v>
      </c>
      <c r="D12" s="38"/>
      <c r="E12" s="38"/>
      <c r="F12" s="38"/>
      <c r="G12" s="39"/>
    </row>
    <row r="13" spans="2:7" ht="18.75" x14ac:dyDescent="0.3">
      <c r="B13" s="45">
        <v>1900</v>
      </c>
      <c r="C13" s="37" t="s">
        <v>86</v>
      </c>
      <c r="D13" s="38"/>
      <c r="E13" s="38"/>
      <c r="F13" s="38"/>
      <c r="G13" s="39"/>
    </row>
    <row r="14" spans="2:7" ht="18.75" x14ac:dyDescent="0.3">
      <c r="B14" s="46"/>
      <c r="C14" s="37" t="s">
        <v>87</v>
      </c>
      <c r="D14" s="38"/>
      <c r="E14" s="38"/>
      <c r="F14" s="38"/>
      <c r="G14" s="39"/>
    </row>
    <row r="15" spans="2:7" ht="18.75" x14ac:dyDescent="0.3">
      <c r="B15" s="47">
        <v>300</v>
      </c>
      <c r="C15" s="40" t="s">
        <v>91</v>
      </c>
      <c r="D15" s="41"/>
      <c r="E15" s="41"/>
      <c r="F15" s="41"/>
      <c r="G15" s="42"/>
    </row>
    <row r="16" spans="2:7" ht="18.75" x14ac:dyDescent="0.3">
      <c r="B16" s="9"/>
      <c r="C16" s="9"/>
    </row>
    <row r="17" spans="2:9" ht="18.75" x14ac:dyDescent="0.3">
      <c r="B17" s="9" t="s">
        <v>98</v>
      </c>
      <c r="C17" s="9"/>
    </row>
    <row r="18" spans="2:9" ht="18.75" x14ac:dyDescent="0.3">
      <c r="B18" s="9" t="s">
        <v>92</v>
      </c>
      <c r="C18" s="9"/>
    </row>
    <row r="19" spans="2:9" ht="18.75" x14ac:dyDescent="0.3">
      <c r="B19" s="9" t="s">
        <v>43</v>
      </c>
      <c r="C19" s="9"/>
    </row>
    <row r="20" spans="2:9" ht="18.75" x14ac:dyDescent="0.3">
      <c r="C20" s="9"/>
    </row>
    <row r="21" spans="2:9" ht="23.25" x14ac:dyDescent="0.35">
      <c r="B21" s="6" t="s">
        <v>72</v>
      </c>
      <c r="C21" s="9"/>
    </row>
    <row r="22" spans="2:9" ht="10.5" customHeight="1" x14ac:dyDescent="0.3">
      <c r="B22" s="9"/>
      <c r="C22" s="9"/>
      <c r="D22" s="9"/>
      <c r="E22" s="9"/>
      <c r="F22" s="9"/>
      <c r="G22" s="9"/>
      <c r="H22" s="9"/>
      <c r="I22" s="9"/>
    </row>
    <row r="23" spans="2:9" ht="36" customHeight="1" x14ac:dyDescent="0.3">
      <c r="B23" s="28" t="s">
        <v>83</v>
      </c>
      <c r="C23" s="26"/>
      <c r="D23" s="26"/>
      <c r="E23" s="27"/>
      <c r="F23" s="29" t="s">
        <v>12</v>
      </c>
      <c r="G23" s="26" t="s">
        <v>0</v>
      </c>
      <c r="H23" s="27"/>
      <c r="I23" s="9"/>
    </row>
    <row r="24" spans="2:9" ht="33" customHeight="1" x14ac:dyDescent="0.3">
      <c r="B24" s="13" t="s">
        <v>34</v>
      </c>
      <c r="C24" s="14"/>
      <c r="D24" s="14"/>
      <c r="E24" s="14"/>
      <c r="F24" s="31">
        <v>18666</v>
      </c>
      <c r="G24" s="11" t="s">
        <v>97</v>
      </c>
      <c r="H24" s="15"/>
      <c r="I24" s="9"/>
    </row>
    <row r="25" spans="2:9" ht="36.75" customHeight="1" x14ac:dyDescent="0.3">
      <c r="B25" s="13" t="s">
        <v>67</v>
      </c>
      <c r="C25" s="14"/>
      <c r="D25" s="14"/>
      <c r="E25" s="14"/>
      <c r="F25" s="31">
        <f>(18720+21840+26520+29500+23400)/1039*179</f>
        <v>20670.279114533205</v>
      </c>
      <c r="G25" s="11" t="s">
        <v>68</v>
      </c>
      <c r="H25" s="15"/>
      <c r="I25" s="9"/>
    </row>
    <row r="26" spans="2:9" ht="24.95" customHeight="1" x14ac:dyDescent="0.3">
      <c r="B26" s="13" t="s">
        <v>4</v>
      </c>
      <c r="C26" s="14"/>
      <c r="D26" s="17"/>
      <c r="E26" s="14"/>
      <c r="F26" s="31">
        <f>27916+6000+5000+1832.68</f>
        <v>40748.68</v>
      </c>
      <c r="G26" s="10" t="s">
        <v>80</v>
      </c>
      <c r="H26" s="15"/>
      <c r="I26" s="9"/>
    </row>
    <row r="27" spans="2:9" ht="24.95" customHeight="1" x14ac:dyDescent="0.3">
      <c r="B27" s="13" t="s">
        <v>94</v>
      </c>
      <c r="C27" s="14"/>
      <c r="D27" s="17"/>
      <c r="E27" s="14"/>
      <c r="F27" s="31">
        <f>+'Breakfast Costings'!K20</f>
        <v>10151.509999999998</v>
      </c>
      <c r="G27" s="10" t="s">
        <v>95</v>
      </c>
      <c r="H27" s="15"/>
      <c r="I27" s="9"/>
    </row>
    <row r="28" spans="2:9" ht="45.75" customHeight="1" x14ac:dyDescent="0.3">
      <c r="B28" s="13" t="s">
        <v>2</v>
      </c>
      <c r="C28" s="14"/>
      <c r="D28" s="17"/>
      <c r="E28" s="14"/>
      <c r="F28" s="31">
        <f>24586.8+1320</f>
        <v>25906.799999999999</v>
      </c>
      <c r="G28" s="11" t="s">
        <v>69</v>
      </c>
      <c r="H28" s="15"/>
      <c r="I28" s="9"/>
    </row>
    <row r="29" spans="2:9" ht="24.95" customHeight="1" x14ac:dyDescent="0.3">
      <c r="B29" s="18" t="s">
        <v>27</v>
      </c>
      <c r="C29" s="19"/>
      <c r="D29" s="20"/>
      <c r="E29" s="19"/>
      <c r="F29" s="31">
        <v>5796</v>
      </c>
      <c r="G29" s="12" t="s">
        <v>96</v>
      </c>
      <c r="H29" s="22"/>
      <c r="I29" s="9"/>
    </row>
    <row r="30" spans="2:9" ht="24.95" customHeight="1" x14ac:dyDescent="0.3">
      <c r="B30" s="18" t="s">
        <v>28</v>
      </c>
      <c r="C30" s="19"/>
      <c r="D30" s="20"/>
      <c r="E30" s="19"/>
      <c r="F30" s="31">
        <f>+Staff!N20</f>
        <v>36523.457656206345</v>
      </c>
      <c r="G30" s="12" t="s">
        <v>45</v>
      </c>
      <c r="H30" s="22"/>
      <c r="I30" s="9"/>
    </row>
    <row r="31" spans="2:9" ht="24.95" customHeight="1" x14ac:dyDescent="0.3">
      <c r="B31" s="18" t="s">
        <v>29</v>
      </c>
      <c r="C31" s="19"/>
      <c r="D31" s="20"/>
      <c r="E31" s="19"/>
      <c r="F31" s="31">
        <f>+Staff!L18</f>
        <v>18486.26338172935</v>
      </c>
      <c r="G31" s="12" t="s">
        <v>31</v>
      </c>
      <c r="H31" s="22"/>
      <c r="I31" s="9"/>
    </row>
    <row r="32" spans="2:9" ht="24.95" customHeight="1" x14ac:dyDescent="0.3">
      <c r="B32" s="18" t="s">
        <v>71</v>
      </c>
      <c r="C32" s="19"/>
      <c r="D32" s="20"/>
      <c r="E32" s="19"/>
      <c r="F32" s="31">
        <f>+Old!L23</f>
        <v>15034.958114146593</v>
      </c>
      <c r="G32" s="12" t="s">
        <v>48</v>
      </c>
      <c r="H32" s="22"/>
      <c r="I32" s="9"/>
    </row>
    <row r="33" spans="2:9" ht="24.95" customHeight="1" x14ac:dyDescent="0.3">
      <c r="B33" s="18" t="s">
        <v>32</v>
      </c>
      <c r="C33" s="19"/>
      <c r="D33" s="20"/>
      <c r="E33" s="19"/>
      <c r="F33" s="31">
        <v>5724.95</v>
      </c>
      <c r="G33" s="12" t="s">
        <v>70</v>
      </c>
      <c r="H33" s="22"/>
      <c r="I33" s="9"/>
    </row>
    <row r="34" spans="2:9" ht="24.95" customHeight="1" x14ac:dyDescent="0.3">
      <c r="B34" s="18" t="s">
        <v>65</v>
      </c>
      <c r="C34" s="19"/>
      <c r="D34" s="20"/>
      <c r="E34" s="19"/>
      <c r="F34" s="31">
        <f>2300+1250</f>
        <v>3550</v>
      </c>
      <c r="G34" s="12" t="s">
        <v>82</v>
      </c>
      <c r="H34" s="22"/>
      <c r="I34" s="9"/>
    </row>
    <row r="35" spans="2:9" ht="24.95" customHeight="1" x14ac:dyDescent="0.3">
      <c r="B35" s="18" t="s">
        <v>66</v>
      </c>
      <c r="C35" s="19"/>
      <c r="D35" s="20"/>
      <c r="E35" s="19"/>
      <c r="F35" s="34"/>
      <c r="G35" s="12"/>
      <c r="H35" s="22"/>
      <c r="I35" s="9"/>
    </row>
    <row r="36" spans="2:9" ht="24.95" customHeight="1" x14ac:dyDescent="0.3">
      <c r="B36" s="23" t="s">
        <v>3</v>
      </c>
      <c r="C36" s="16"/>
      <c r="D36" s="16"/>
      <c r="E36" s="16"/>
      <c r="F36" s="24">
        <f>SUM(F23:F34)</f>
        <v>201258.89826661549</v>
      </c>
      <c r="G36" s="13"/>
      <c r="H36" s="15"/>
      <c r="I36" s="9"/>
    </row>
    <row r="37" spans="2:9" ht="24.95" customHeight="1" x14ac:dyDescent="0.3">
      <c r="B37" s="9"/>
      <c r="C37" s="9"/>
      <c r="D37" s="9"/>
      <c r="E37" s="9"/>
      <c r="F37" s="9"/>
      <c r="G37" s="9"/>
      <c r="H37" s="9"/>
      <c r="I37" s="9"/>
    </row>
    <row r="38" spans="2:9" ht="24.95" customHeight="1" x14ac:dyDescent="0.3">
      <c r="B38" s="9" t="s">
        <v>13</v>
      </c>
      <c r="C38" s="9"/>
      <c r="D38" s="9"/>
      <c r="E38" s="9"/>
      <c r="F38" s="25">
        <f>+F7-F36</f>
        <v>-21062.648266615492</v>
      </c>
      <c r="G38" s="9"/>
      <c r="H38" s="9"/>
      <c r="I38" s="9"/>
    </row>
    <row r="39" spans="2:9" ht="24.95" customHeight="1" x14ac:dyDescent="0.3">
      <c r="B39" s="9"/>
      <c r="C39" s="9"/>
      <c r="D39" s="9"/>
      <c r="E39" s="9"/>
      <c r="F39" s="9"/>
      <c r="G39" s="9"/>
      <c r="H39" s="9"/>
      <c r="I39" s="9"/>
    </row>
    <row r="40" spans="2:9" ht="24.95" customHeight="1" x14ac:dyDescent="0.3">
      <c r="B40" s="9"/>
      <c r="C40" s="9"/>
      <c r="D40" s="9"/>
      <c r="E40" s="9"/>
      <c r="F40" s="9"/>
      <c r="G40" s="9"/>
      <c r="H40" s="9"/>
      <c r="I40" s="9"/>
    </row>
    <row r="41" spans="2:9" ht="24.95" customHeight="1" x14ac:dyDescent="0.25"/>
    <row r="42" spans="2:9" ht="24.95" customHeight="1" x14ac:dyDescent="0.25"/>
    <row r="43" spans="2:9" ht="24.95" customHeight="1" x14ac:dyDescent="0.25"/>
    <row r="44" spans="2:9" ht="24.95" customHeight="1" x14ac:dyDescent="0.25"/>
    <row r="45" spans="2:9" ht="24.95" customHeight="1" x14ac:dyDescent="0.25"/>
  </sheetData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workbookViewId="0">
      <selection activeCell="J25" sqref="J25"/>
    </sheetView>
  </sheetViews>
  <sheetFormatPr defaultRowHeight="15" x14ac:dyDescent="0.25"/>
  <cols>
    <col min="5" max="5" width="6.140625" customWidth="1"/>
    <col min="6" max="6" width="11.5703125" bestFit="1" customWidth="1"/>
    <col min="7" max="7" width="11.7109375" customWidth="1"/>
    <col min="10" max="11" width="11.5703125" bestFit="1" customWidth="1"/>
  </cols>
  <sheetData>
    <row r="2" spans="2:14" x14ac:dyDescent="0.25">
      <c r="B2" t="s">
        <v>14</v>
      </c>
      <c r="F2" s="2" t="s">
        <v>81</v>
      </c>
    </row>
    <row r="3" spans="2:14" x14ac:dyDescent="0.25">
      <c r="B3" s="2" t="s">
        <v>58</v>
      </c>
      <c r="D3" t="s">
        <v>15</v>
      </c>
      <c r="F3" t="s">
        <v>22</v>
      </c>
      <c r="G3" t="s">
        <v>23</v>
      </c>
      <c r="H3" t="s">
        <v>24</v>
      </c>
      <c r="I3" t="s">
        <v>25</v>
      </c>
      <c r="K3" s="1" t="s">
        <v>21</v>
      </c>
    </row>
    <row r="4" spans="2:14" x14ac:dyDescent="0.25">
      <c r="B4">
        <v>40</v>
      </c>
      <c r="C4" t="s">
        <v>19</v>
      </c>
      <c r="D4">
        <v>6</v>
      </c>
      <c r="F4">
        <f>+B4*D4</f>
        <v>240</v>
      </c>
      <c r="G4">
        <v>5</v>
      </c>
      <c r="H4">
        <f>+F4*G4</f>
        <v>1200</v>
      </c>
      <c r="I4" s="33">
        <f>+H4/60</f>
        <v>20</v>
      </c>
      <c r="J4" s="32">
        <v>10.58</v>
      </c>
      <c r="K4" s="3">
        <f>+I4*J4</f>
        <v>211.6</v>
      </c>
    </row>
    <row r="5" spans="2:14" x14ac:dyDescent="0.25">
      <c r="B5">
        <v>25</v>
      </c>
      <c r="C5" t="s">
        <v>19</v>
      </c>
      <c r="D5">
        <v>1</v>
      </c>
      <c r="F5">
        <f t="shared" ref="F5:F7" si="0">+B5*D5</f>
        <v>25</v>
      </c>
      <c r="G5">
        <v>5</v>
      </c>
      <c r="H5">
        <f t="shared" ref="H5:H7" si="1">+F5*G5</f>
        <v>125</v>
      </c>
      <c r="I5" s="33">
        <f t="shared" ref="I5:I7" si="2">+H5/60</f>
        <v>2.0833333333333335</v>
      </c>
      <c r="J5" s="32">
        <v>10.58</v>
      </c>
      <c r="K5" s="3">
        <f t="shared" ref="K5:K7" si="3">+I5*J5</f>
        <v>22.041666666666668</v>
      </c>
    </row>
    <row r="6" spans="2:14" x14ac:dyDescent="0.25">
      <c r="B6">
        <v>15</v>
      </c>
      <c r="C6" t="s">
        <v>19</v>
      </c>
      <c r="D6">
        <v>1</v>
      </c>
      <c r="F6">
        <v>15</v>
      </c>
      <c r="G6">
        <v>4</v>
      </c>
      <c r="H6">
        <f>+F6*G6</f>
        <v>60</v>
      </c>
      <c r="I6" s="33">
        <f>+H6/60</f>
        <v>1</v>
      </c>
      <c r="J6" s="32">
        <v>10.58</v>
      </c>
      <c r="K6" s="3">
        <f t="shared" si="3"/>
        <v>10.58</v>
      </c>
    </row>
    <row r="7" spans="2:14" x14ac:dyDescent="0.25">
      <c r="B7">
        <v>30</v>
      </c>
      <c r="C7" t="s">
        <v>20</v>
      </c>
      <c r="D7">
        <v>1</v>
      </c>
      <c r="F7">
        <f t="shared" si="0"/>
        <v>30</v>
      </c>
      <c r="G7">
        <v>1</v>
      </c>
      <c r="H7">
        <f t="shared" si="1"/>
        <v>30</v>
      </c>
      <c r="I7" s="33">
        <f t="shared" si="2"/>
        <v>0.5</v>
      </c>
      <c r="J7" s="32">
        <v>10.58</v>
      </c>
      <c r="K7" s="3">
        <f t="shared" si="3"/>
        <v>5.29</v>
      </c>
      <c r="N7" t="s">
        <v>63</v>
      </c>
    </row>
    <row r="10" spans="2:14" x14ac:dyDescent="0.25">
      <c r="B10" t="s">
        <v>16</v>
      </c>
    </row>
    <row r="11" spans="2:14" x14ac:dyDescent="0.25">
      <c r="B11">
        <v>20</v>
      </c>
      <c r="C11" t="s">
        <v>19</v>
      </c>
      <c r="D11">
        <v>1</v>
      </c>
      <c r="F11">
        <f t="shared" ref="F11" si="4">+B11*D11</f>
        <v>20</v>
      </c>
      <c r="G11">
        <v>5</v>
      </c>
      <c r="H11">
        <f t="shared" ref="H11" si="5">+F11*G11</f>
        <v>100</v>
      </c>
      <c r="I11" s="33">
        <f t="shared" ref="I11" si="6">+H11/60</f>
        <v>1.6666666666666667</v>
      </c>
      <c r="J11" s="32">
        <v>10.58</v>
      </c>
      <c r="K11" s="3">
        <f t="shared" ref="K11" si="7">+I11*J11</f>
        <v>17.633333333333333</v>
      </c>
    </row>
    <row r="12" spans="2:14" x14ac:dyDescent="0.25">
      <c r="I12" s="33"/>
    </row>
    <row r="13" spans="2:14" x14ac:dyDescent="0.25">
      <c r="I13" s="33"/>
    </row>
    <row r="14" spans="2:14" x14ac:dyDescent="0.25">
      <c r="B14" t="s">
        <v>17</v>
      </c>
    </row>
    <row r="15" spans="2:14" x14ac:dyDescent="0.25">
      <c r="B15">
        <v>0</v>
      </c>
      <c r="C15" t="s">
        <v>19</v>
      </c>
      <c r="D15">
        <v>1</v>
      </c>
      <c r="F15">
        <f t="shared" ref="F15" si="8">+B15*D15</f>
        <v>0</v>
      </c>
      <c r="G15">
        <v>5</v>
      </c>
      <c r="H15">
        <f t="shared" ref="H15:H16" si="9">+F15*G15</f>
        <v>0</v>
      </c>
      <c r="I15" s="33">
        <f t="shared" ref="I15:I16" si="10">+H15/60</f>
        <v>0</v>
      </c>
      <c r="J15" s="32">
        <v>10.58</v>
      </c>
      <c r="K15" s="3">
        <f t="shared" ref="K15" si="11">+I15*J15</f>
        <v>0</v>
      </c>
    </row>
    <row r="16" spans="2:14" x14ac:dyDescent="0.25">
      <c r="B16">
        <v>0</v>
      </c>
      <c r="C16" t="s">
        <v>19</v>
      </c>
      <c r="D16" t="s">
        <v>18</v>
      </c>
      <c r="F16">
        <v>50</v>
      </c>
      <c r="G16">
        <v>5</v>
      </c>
      <c r="H16">
        <f t="shared" si="9"/>
        <v>250</v>
      </c>
      <c r="I16" s="33">
        <f t="shared" si="10"/>
        <v>4.166666666666667</v>
      </c>
      <c r="J16" s="32">
        <v>6.61</v>
      </c>
      <c r="K16" s="3">
        <v>0</v>
      </c>
    </row>
    <row r="18" spans="3:11" x14ac:dyDescent="0.25">
      <c r="K18" s="4">
        <f>SUM(K4:K17)</f>
        <v>267.14499999999998</v>
      </c>
    </row>
    <row r="19" spans="3:11" ht="15.75" thickBot="1" x14ac:dyDescent="0.3"/>
    <row r="20" spans="3:11" ht="15.75" thickBot="1" x14ac:dyDescent="0.3">
      <c r="I20" t="s">
        <v>26</v>
      </c>
      <c r="K20" s="30">
        <f>+K18*38</f>
        <v>10151.509999999998</v>
      </c>
    </row>
    <row r="24" spans="3:11" x14ac:dyDescent="0.25">
      <c r="F24" t="s">
        <v>93</v>
      </c>
      <c r="G24" t="s">
        <v>60</v>
      </c>
      <c r="H24" t="s">
        <v>61</v>
      </c>
    </row>
    <row r="25" spans="3:11" x14ac:dyDescent="0.25">
      <c r="C25" t="s">
        <v>59</v>
      </c>
      <c r="F25" s="3">
        <v>20015</v>
      </c>
      <c r="G25">
        <v>44.3</v>
      </c>
      <c r="H25">
        <v>31.25</v>
      </c>
      <c r="J25" s="3">
        <v>14361.89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2"/>
  <sheetViews>
    <sheetView workbookViewId="0">
      <selection activeCell="P28" sqref="P28"/>
    </sheetView>
  </sheetViews>
  <sheetFormatPr defaultRowHeight="15" x14ac:dyDescent="0.25"/>
  <cols>
    <col min="1" max="1" width="2.85546875" customWidth="1"/>
    <col min="8" max="8" width="11.5703125" bestFit="1" customWidth="1"/>
    <col min="9" max="11" width="9.28515625" bestFit="1" customWidth="1"/>
    <col min="12" max="12" width="11.5703125" bestFit="1" customWidth="1"/>
    <col min="14" max="15" width="11.5703125" bestFit="1" customWidth="1"/>
  </cols>
  <sheetData>
    <row r="2" spans="2:15" x14ac:dyDescent="0.25">
      <c r="E2" t="s">
        <v>51</v>
      </c>
      <c r="F2" t="s">
        <v>52</v>
      </c>
    </row>
    <row r="3" spans="2:15" x14ac:dyDescent="0.25">
      <c r="B3" t="s">
        <v>49</v>
      </c>
      <c r="D3" t="s">
        <v>50</v>
      </c>
      <c r="E3">
        <v>44.3</v>
      </c>
      <c r="F3">
        <v>24</v>
      </c>
      <c r="H3" s="32">
        <v>29070</v>
      </c>
      <c r="I3" s="32">
        <f>+H3/52.143</f>
        <v>557.5053219032277</v>
      </c>
      <c r="J3" s="32">
        <f>+I3/37</f>
        <v>15.067711402789937</v>
      </c>
      <c r="K3" s="32">
        <f>+J3*E3</f>
        <v>667.49961514359416</v>
      </c>
      <c r="L3" s="32">
        <f>+K3*F3</f>
        <v>16019.99076344626</v>
      </c>
      <c r="M3" s="32"/>
    </row>
    <row r="4" spans="2:15" x14ac:dyDescent="0.25">
      <c r="H4" s="32"/>
      <c r="I4" s="32"/>
      <c r="J4" s="32"/>
      <c r="K4" s="32"/>
      <c r="L4" s="32"/>
      <c r="M4" s="32"/>
    </row>
    <row r="5" spans="2:15" x14ac:dyDescent="0.25">
      <c r="B5" t="s">
        <v>53</v>
      </c>
      <c r="D5" t="s">
        <v>54</v>
      </c>
      <c r="E5">
        <v>44.3</v>
      </c>
      <c r="F5">
        <v>23.33</v>
      </c>
      <c r="H5" s="32">
        <v>26536</v>
      </c>
      <c r="I5" s="32">
        <f>+H5/52.143</f>
        <v>508.90819477206912</v>
      </c>
      <c r="J5" s="32">
        <f>+I5/37</f>
        <v>13.754275534380247</v>
      </c>
      <c r="K5" s="32">
        <f>+J5*E5</f>
        <v>609.31440617304486</v>
      </c>
      <c r="L5" s="36">
        <f>+K5*F5</f>
        <v>14215.305096017135</v>
      </c>
      <c r="M5" s="32"/>
    </row>
    <row r="6" spans="2:15" x14ac:dyDescent="0.25">
      <c r="H6" s="32"/>
      <c r="I6" s="32"/>
      <c r="J6" s="32"/>
      <c r="K6" s="32"/>
      <c r="L6" s="32"/>
      <c r="M6" s="32"/>
    </row>
    <row r="7" spans="2:15" x14ac:dyDescent="0.25">
      <c r="B7" t="s">
        <v>55</v>
      </c>
      <c r="D7" t="s">
        <v>54</v>
      </c>
      <c r="E7">
        <v>44.3</v>
      </c>
      <c r="F7">
        <v>25.17</v>
      </c>
      <c r="H7" s="32">
        <v>26536</v>
      </c>
      <c r="I7" s="32">
        <f>+H7/52.143</f>
        <v>508.90819477206912</v>
      </c>
      <c r="J7" s="32">
        <f>+I7/37</f>
        <v>13.754275534380247</v>
      </c>
      <c r="K7" s="32">
        <f>+J7*E7</f>
        <v>609.31440617304486</v>
      </c>
      <c r="L7" s="32">
        <f>+K7*F7</f>
        <v>15336.443603375541</v>
      </c>
      <c r="M7" s="32"/>
      <c r="N7" t="str">
        <f>+'PP Exp 1819'!B31</f>
        <v>Dyslexia, Literacy &amp; English</v>
      </c>
    </row>
    <row r="8" spans="2:15" x14ac:dyDescent="0.25">
      <c r="M8" s="32"/>
    </row>
    <row r="9" spans="2:15" x14ac:dyDescent="0.25">
      <c r="B9" t="s">
        <v>56</v>
      </c>
      <c r="D9" t="s">
        <v>57</v>
      </c>
      <c r="E9">
        <v>44.1</v>
      </c>
      <c r="F9">
        <v>37</v>
      </c>
      <c r="H9" s="32">
        <v>23983</v>
      </c>
      <c r="I9" s="32">
        <f>+H9/52.143</f>
        <v>459.94668507757513</v>
      </c>
      <c r="J9" s="32">
        <f>+I9/37</f>
        <v>12.430991488583112</v>
      </c>
      <c r="K9" s="32">
        <f>+J9*E9</f>
        <v>548.20672464651523</v>
      </c>
      <c r="L9" s="36">
        <f>+K9*F9</f>
        <v>20283.648811921063</v>
      </c>
      <c r="M9" s="32"/>
      <c r="N9" s="35">
        <f>+L9+L5</f>
        <v>34498.953907938194</v>
      </c>
      <c r="O9" t="s">
        <v>28</v>
      </c>
    </row>
    <row r="10" spans="2:15" x14ac:dyDescent="0.25">
      <c r="H10" s="32"/>
      <c r="I10" s="32"/>
      <c r="J10" s="32"/>
      <c r="K10" s="32"/>
      <c r="L10" s="32"/>
      <c r="M10" s="32"/>
    </row>
    <row r="11" spans="2:15" x14ac:dyDescent="0.25">
      <c r="H11" s="32"/>
      <c r="I11" s="32"/>
      <c r="J11" s="32"/>
      <c r="K11" s="32"/>
      <c r="L11" s="32"/>
      <c r="M11" s="32"/>
    </row>
    <row r="12" spans="2:15" x14ac:dyDescent="0.25">
      <c r="B12" s="1"/>
      <c r="C12" s="1"/>
    </row>
    <row r="13" spans="2:15" x14ac:dyDescent="0.25">
      <c r="B13" s="1" t="s">
        <v>77</v>
      </c>
      <c r="C13" s="1"/>
    </row>
    <row r="14" spans="2:15" x14ac:dyDescent="0.25">
      <c r="B14" t="s">
        <v>49</v>
      </c>
      <c r="H14" s="32"/>
      <c r="I14" s="32"/>
      <c r="J14" s="32"/>
      <c r="K14" s="32"/>
      <c r="L14" s="32"/>
      <c r="M14" s="32"/>
    </row>
    <row r="15" spans="2:15" x14ac:dyDescent="0.25">
      <c r="H15" s="32"/>
      <c r="I15" s="32"/>
      <c r="J15" s="32"/>
      <c r="K15" s="32"/>
      <c r="L15" s="32"/>
      <c r="M15" s="32"/>
    </row>
    <row r="16" spans="2:15" x14ac:dyDescent="0.25">
      <c r="B16" t="s">
        <v>53</v>
      </c>
      <c r="D16" t="s">
        <v>54</v>
      </c>
      <c r="E16">
        <v>44.3</v>
      </c>
      <c r="F16">
        <v>23.33</v>
      </c>
      <c r="H16" s="32">
        <v>27055</v>
      </c>
      <c r="I16" s="32">
        <f>+H16/52.143</f>
        <v>518.86159216002147</v>
      </c>
      <c r="J16" s="32">
        <f>+I16/37</f>
        <v>14.023286274595176</v>
      </c>
      <c r="K16" s="32">
        <f>+J16*E16</f>
        <v>621.2315819645662</v>
      </c>
      <c r="L16" s="36">
        <f>+K16*F16</f>
        <v>14493.332807233328</v>
      </c>
      <c r="M16" s="32"/>
    </row>
    <row r="17" spans="2:16" x14ac:dyDescent="0.25">
      <c r="H17" s="32"/>
      <c r="I17" s="32"/>
      <c r="J17" s="32"/>
      <c r="K17" s="32"/>
      <c r="L17" s="32"/>
      <c r="M17" s="32"/>
    </row>
    <row r="18" spans="2:16" x14ac:dyDescent="0.25">
      <c r="B18" t="s">
        <v>55</v>
      </c>
      <c r="D18" t="s">
        <v>79</v>
      </c>
      <c r="E18">
        <v>44.3</v>
      </c>
      <c r="F18">
        <v>25.17</v>
      </c>
      <c r="H18" s="32">
        <v>31986</v>
      </c>
      <c r="I18" s="32">
        <f>+H18/52.143</f>
        <v>613.42845636039351</v>
      </c>
      <c r="J18" s="32">
        <f>+I18/37</f>
        <v>16.579147469199825</v>
      </c>
      <c r="K18" s="32">
        <f>+J18*E18</f>
        <v>734.45623288555214</v>
      </c>
      <c r="L18" s="32">
        <f>+K18*F18</f>
        <v>18486.26338172935</v>
      </c>
      <c r="M18" s="32"/>
      <c r="N18">
        <f>+'PP Exp 1819'!B40</f>
        <v>0</v>
      </c>
    </row>
    <row r="19" spans="2:16" x14ac:dyDescent="0.25">
      <c r="M19" s="32"/>
    </row>
    <row r="20" spans="2:16" x14ac:dyDescent="0.25">
      <c r="B20" t="s">
        <v>56</v>
      </c>
      <c r="D20" t="s">
        <v>78</v>
      </c>
      <c r="E20">
        <v>44.1</v>
      </c>
      <c r="F20">
        <v>37</v>
      </c>
      <c r="H20" s="32">
        <v>26048</v>
      </c>
      <c r="I20" s="32">
        <f>+H20/52.143</f>
        <v>499.54931630324302</v>
      </c>
      <c r="J20" s="32">
        <f>+I20/37</f>
        <v>13.501332873060623</v>
      </c>
      <c r="K20" s="32">
        <f>+J20*E20</f>
        <v>595.40877970197346</v>
      </c>
      <c r="L20" s="36">
        <f>+K20*F20</f>
        <v>22030.124848973017</v>
      </c>
      <c r="M20" s="32"/>
      <c r="N20" s="35">
        <f>+L20+L16</f>
        <v>36523.457656206345</v>
      </c>
      <c r="O20" t="s">
        <v>28</v>
      </c>
    </row>
    <row r="23" spans="2:16" x14ac:dyDescent="0.25">
      <c r="B23" s="1" t="s">
        <v>103</v>
      </c>
      <c r="C23" s="1"/>
    </row>
    <row r="24" spans="2:16" x14ac:dyDescent="0.25">
      <c r="H24" s="32"/>
      <c r="I24" s="32"/>
      <c r="J24" s="32"/>
      <c r="K24" s="32"/>
      <c r="L24" s="32"/>
    </row>
    <row r="25" spans="2:16" x14ac:dyDescent="0.25">
      <c r="H25" s="32"/>
      <c r="I25" s="32"/>
      <c r="J25" s="32"/>
      <c r="K25" s="32"/>
      <c r="L25" s="32"/>
    </row>
    <row r="26" spans="2:16" x14ac:dyDescent="0.25">
      <c r="B26" t="s">
        <v>53</v>
      </c>
      <c r="D26" t="s">
        <v>107</v>
      </c>
      <c r="E26">
        <v>44.3</v>
      </c>
      <c r="F26">
        <v>23.33</v>
      </c>
      <c r="H26" s="32">
        <v>27608</v>
      </c>
      <c r="I26" s="32">
        <f>+H26/52.143</f>
        <v>529.46704255604777</v>
      </c>
      <c r="J26" s="32">
        <f>+I26/37</f>
        <v>14.309920069082372</v>
      </c>
      <c r="K26" s="32">
        <f>+J26*E26</f>
        <v>633.92945906034902</v>
      </c>
      <c r="L26" s="36">
        <f>+K26*F26</f>
        <v>14789.574279877941</v>
      </c>
    </row>
    <row r="27" spans="2:16" x14ac:dyDescent="0.25">
      <c r="H27" s="32"/>
      <c r="I27" s="32"/>
      <c r="J27" s="32"/>
      <c r="K27" s="32"/>
      <c r="L27" s="32"/>
    </row>
    <row r="28" spans="2:16" x14ac:dyDescent="0.25">
      <c r="B28" t="s">
        <v>55</v>
      </c>
      <c r="D28" s="51" t="s">
        <v>108</v>
      </c>
      <c r="E28">
        <v>44.3</v>
      </c>
      <c r="F28">
        <v>31.4</v>
      </c>
      <c r="H28" s="32">
        <v>33487</v>
      </c>
      <c r="I28" s="32">
        <f>+H28/52.143</f>
        <v>642.21467886389348</v>
      </c>
      <c r="J28" s="32">
        <f>+I28/37</f>
        <v>17.357153482807931</v>
      </c>
      <c r="K28" s="32">
        <f>+J28*E28</f>
        <v>768.92189928839127</v>
      </c>
      <c r="L28" s="32">
        <f>+K28*F28</f>
        <v>24144.147637655486</v>
      </c>
      <c r="N28">
        <f>+L28/100*25</f>
        <v>6036.0369094138714</v>
      </c>
      <c r="O28" s="35">
        <f>+N28+L28</f>
        <v>30180.184547069359</v>
      </c>
      <c r="P28" t="s">
        <v>110</v>
      </c>
    </row>
    <row r="29" spans="2:16" x14ac:dyDescent="0.25">
      <c r="D29" s="51"/>
    </row>
    <row r="30" spans="2:16" x14ac:dyDescent="0.25">
      <c r="B30" t="s">
        <v>56</v>
      </c>
      <c r="D30" s="51" t="s">
        <v>50</v>
      </c>
      <c r="E30">
        <v>44.1</v>
      </c>
      <c r="F30">
        <v>37</v>
      </c>
      <c r="H30" s="32">
        <v>30245</v>
      </c>
      <c r="I30" s="32">
        <f>+H30/52.143</f>
        <v>580.03950674107739</v>
      </c>
      <c r="J30" s="32">
        <f>+I30/37</f>
        <v>15.676743425434523</v>
      </c>
      <c r="K30" s="32">
        <f>+J30*E30</f>
        <v>691.34438506166248</v>
      </c>
      <c r="L30" s="36">
        <f>+K30*F30</f>
        <v>25579.742247281512</v>
      </c>
      <c r="N30" s="35">
        <f>+L30+L26</f>
        <v>40369.316527159455</v>
      </c>
      <c r="O30" t="s">
        <v>28</v>
      </c>
    </row>
    <row r="31" spans="2:16" x14ac:dyDescent="0.25">
      <c r="N31">
        <f>+N30/100*25</f>
        <v>10092.329131789864</v>
      </c>
      <c r="O31" t="s">
        <v>109</v>
      </c>
    </row>
    <row r="32" spans="2:16" x14ac:dyDescent="0.25">
      <c r="N32" s="52">
        <f>+N31+N30</f>
        <v>50461.645658949317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K20" sqref="K20"/>
    </sheetView>
  </sheetViews>
  <sheetFormatPr defaultRowHeight="15" x14ac:dyDescent="0.25"/>
  <cols>
    <col min="5" max="5" width="6.140625" customWidth="1"/>
    <col min="6" max="6" width="11.5703125" bestFit="1" customWidth="1"/>
    <col min="10" max="12" width="11.5703125" bestFit="1" customWidth="1"/>
  </cols>
  <sheetData>
    <row r="2" spans="1:14" x14ac:dyDescent="0.25">
      <c r="B2" t="s">
        <v>14</v>
      </c>
      <c r="F2" s="2" t="s">
        <v>111</v>
      </c>
    </row>
    <row r="3" spans="1:14" x14ac:dyDescent="0.25">
      <c r="B3" s="2" t="s">
        <v>58</v>
      </c>
      <c r="D3" t="s">
        <v>15</v>
      </c>
      <c r="F3" t="s">
        <v>22</v>
      </c>
      <c r="G3" t="s">
        <v>23</v>
      </c>
      <c r="H3" t="s">
        <v>24</v>
      </c>
      <c r="I3" t="s">
        <v>25</v>
      </c>
      <c r="K3" s="1" t="s">
        <v>21</v>
      </c>
    </row>
    <row r="4" spans="1:14" x14ac:dyDescent="0.25">
      <c r="B4">
        <v>40</v>
      </c>
      <c r="C4" t="s">
        <v>19</v>
      </c>
      <c r="D4">
        <v>5</v>
      </c>
      <c r="F4">
        <f>+B4*D4</f>
        <v>200</v>
      </c>
      <c r="G4">
        <v>5</v>
      </c>
      <c r="H4">
        <f>+F4*G4</f>
        <v>1000</v>
      </c>
      <c r="I4" s="33">
        <f>+H4/60</f>
        <v>16.666666666666668</v>
      </c>
      <c r="J4" s="32">
        <v>10.86</v>
      </c>
      <c r="K4" s="3">
        <f>+I4*J4</f>
        <v>181</v>
      </c>
    </row>
    <row r="5" spans="1:14" x14ac:dyDescent="0.25">
      <c r="B5">
        <v>40</v>
      </c>
      <c r="C5" t="s">
        <v>19</v>
      </c>
      <c r="D5">
        <v>2</v>
      </c>
      <c r="F5">
        <f t="shared" ref="F5:F6" si="0">+B5*D5</f>
        <v>80</v>
      </c>
      <c r="G5">
        <v>2</v>
      </c>
      <c r="H5">
        <f t="shared" ref="H5:H6" si="1">+F5*G5</f>
        <v>160</v>
      </c>
      <c r="I5" s="33">
        <f t="shared" ref="I5:I6" si="2">+H5/60</f>
        <v>2.6666666666666665</v>
      </c>
      <c r="J5" s="32">
        <v>10.86</v>
      </c>
      <c r="K5" s="3">
        <f t="shared" ref="K5:K6" si="3">+I5*J5</f>
        <v>28.959999999999997</v>
      </c>
      <c r="N5" t="s">
        <v>64</v>
      </c>
    </row>
    <row r="6" spans="1:14" x14ac:dyDescent="0.25">
      <c r="B6">
        <v>25</v>
      </c>
      <c r="C6" t="s">
        <v>19</v>
      </c>
      <c r="D6">
        <v>1</v>
      </c>
      <c r="F6">
        <f t="shared" si="0"/>
        <v>25</v>
      </c>
      <c r="G6">
        <v>5</v>
      </c>
      <c r="H6">
        <f t="shared" si="1"/>
        <v>125</v>
      </c>
      <c r="I6" s="33">
        <f t="shared" si="2"/>
        <v>2.0833333333333335</v>
      </c>
      <c r="J6" s="32">
        <v>10.86</v>
      </c>
      <c r="K6" s="3">
        <f t="shared" si="3"/>
        <v>22.625</v>
      </c>
    </row>
    <row r="7" spans="1:14" x14ac:dyDescent="0.25">
      <c r="B7">
        <v>15</v>
      </c>
      <c r="C7" t="s">
        <v>19</v>
      </c>
      <c r="D7">
        <v>1</v>
      </c>
      <c r="F7">
        <f t="shared" ref="F7:F8" si="4">+B7*D7</f>
        <v>15</v>
      </c>
      <c r="G7">
        <v>4</v>
      </c>
      <c r="H7">
        <f t="shared" ref="H7:H8" si="5">+F7*G7</f>
        <v>60</v>
      </c>
      <c r="I7" s="33">
        <f t="shared" ref="I7:I8" si="6">+H7/60</f>
        <v>1</v>
      </c>
      <c r="J7" s="32">
        <v>10.86</v>
      </c>
      <c r="K7" s="3">
        <f t="shared" ref="K7:K8" si="7">+I7*J7</f>
        <v>10.86</v>
      </c>
    </row>
    <row r="8" spans="1:14" x14ac:dyDescent="0.25">
      <c r="B8">
        <v>30</v>
      </c>
      <c r="C8" t="s">
        <v>19</v>
      </c>
      <c r="D8">
        <v>1</v>
      </c>
      <c r="F8">
        <f t="shared" si="4"/>
        <v>30</v>
      </c>
      <c r="G8">
        <v>1</v>
      </c>
      <c r="H8">
        <f t="shared" si="5"/>
        <v>30</v>
      </c>
      <c r="I8" s="33">
        <f t="shared" si="6"/>
        <v>0.5</v>
      </c>
      <c r="J8" s="32">
        <v>10.86</v>
      </c>
      <c r="K8" s="3">
        <f t="shared" si="7"/>
        <v>5.43</v>
      </c>
    </row>
    <row r="9" spans="1:14" x14ac:dyDescent="0.25">
      <c r="I9" s="33"/>
      <c r="J9" s="32"/>
      <c r="K9" s="3"/>
    </row>
    <row r="10" spans="1:14" x14ac:dyDescent="0.25">
      <c r="A10" t="s">
        <v>117</v>
      </c>
      <c r="B10">
        <v>60</v>
      </c>
      <c r="C10" t="s">
        <v>19</v>
      </c>
      <c r="D10">
        <v>1</v>
      </c>
      <c r="F10">
        <f t="shared" ref="F10:F11" si="8">+B10*D10</f>
        <v>60</v>
      </c>
      <c r="G10">
        <v>5</v>
      </c>
      <c r="H10">
        <f t="shared" ref="H10:H11" si="9">+F10*G10</f>
        <v>300</v>
      </c>
      <c r="I10" s="33">
        <f t="shared" ref="I10:I11" si="10">+H10/60</f>
        <v>5</v>
      </c>
      <c r="J10" s="32">
        <v>7.85</v>
      </c>
      <c r="K10" s="3">
        <f t="shared" ref="K10:K11" si="11">+I10*J10</f>
        <v>39.25</v>
      </c>
    </row>
    <row r="11" spans="1:14" x14ac:dyDescent="0.25">
      <c r="B11">
        <v>40</v>
      </c>
      <c r="C11" t="s">
        <v>19</v>
      </c>
      <c r="D11">
        <v>1</v>
      </c>
      <c r="F11">
        <f t="shared" si="8"/>
        <v>40</v>
      </c>
      <c r="G11">
        <v>5</v>
      </c>
      <c r="H11">
        <f t="shared" si="9"/>
        <v>200</v>
      </c>
      <c r="I11" s="33">
        <f t="shared" si="10"/>
        <v>3.3333333333333335</v>
      </c>
      <c r="J11" s="32">
        <v>7.85</v>
      </c>
      <c r="K11" s="3">
        <f t="shared" si="11"/>
        <v>26.166666666666668</v>
      </c>
    </row>
    <row r="12" spans="1:14" x14ac:dyDescent="0.25">
      <c r="B12" t="s">
        <v>16</v>
      </c>
    </row>
    <row r="13" spans="1:14" x14ac:dyDescent="0.25">
      <c r="B13">
        <v>20</v>
      </c>
      <c r="C13" t="s">
        <v>19</v>
      </c>
      <c r="D13">
        <v>1</v>
      </c>
      <c r="F13">
        <f t="shared" ref="F13" si="12">+B13*D13</f>
        <v>20</v>
      </c>
      <c r="G13">
        <v>5</v>
      </c>
      <c r="H13">
        <f t="shared" ref="H13" si="13">+F13*G13</f>
        <v>100</v>
      </c>
      <c r="I13" s="33">
        <f t="shared" ref="I13" si="14">+H13/60</f>
        <v>1.6666666666666667</v>
      </c>
      <c r="J13" s="32">
        <v>10.86</v>
      </c>
      <c r="K13" s="3">
        <f t="shared" ref="K13" si="15">+I13*J13</f>
        <v>18.100000000000001</v>
      </c>
    </row>
    <row r="14" spans="1:14" x14ac:dyDescent="0.25">
      <c r="I14" s="33"/>
    </row>
    <row r="15" spans="1:14" x14ac:dyDescent="0.25">
      <c r="B15">
        <v>60</v>
      </c>
      <c r="C15" t="s">
        <v>116</v>
      </c>
      <c r="I15" s="33"/>
    </row>
    <row r="16" spans="1:14" x14ac:dyDescent="0.25">
      <c r="K16" s="4">
        <f>SUM(K4:K15)</f>
        <v>332.39166666666671</v>
      </c>
      <c r="L16" t="s">
        <v>115</v>
      </c>
    </row>
    <row r="17" spans="3:13" ht="15.75" thickBot="1" x14ac:dyDescent="0.3"/>
    <row r="18" spans="3:13" ht="15.75" thickBot="1" x14ac:dyDescent="0.3">
      <c r="I18" t="s">
        <v>26</v>
      </c>
      <c r="K18" s="30">
        <f>+K16*38</f>
        <v>12630.883333333335</v>
      </c>
    </row>
    <row r="19" spans="3:13" ht="15.75" thickBot="1" x14ac:dyDescent="0.3">
      <c r="J19" t="s">
        <v>114</v>
      </c>
      <c r="K19" s="3">
        <f>+K18/100*25</f>
        <v>3157.7208333333338</v>
      </c>
      <c r="L19" s="56">
        <v>0.25</v>
      </c>
    </row>
    <row r="20" spans="3:13" ht="15.75" thickBot="1" x14ac:dyDescent="0.3">
      <c r="K20" s="55">
        <f>+K19+K18</f>
        <v>15788.604166666668</v>
      </c>
    </row>
    <row r="22" spans="3:13" ht="15.75" thickBot="1" x14ac:dyDescent="0.3">
      <c r="F22" t="s">
        <v>62</v>
      </c>
      <c r="G22" t="s">
        <v>60</v>
      </c>
      <c r="H22" t="s">
        <v>61</v>
      </c>
    </row>
    <row r="23" spans="3:13" ht="15.75" thickBot="1" x14ac:dyDescent="0.3">
      <c r="C23" t="s">
        <v>59</v>
      </c>
      <c r="F23" s="3">
        <v>20953</v>
      </c>
      <c r="G23">
        <v>44.3</v>
      </c>
      <c r="H23">
        <v>31.25</v>
      </c>
      <c r="J23" s="3">
        <f>+F23/37</f>
        <v>566.29729729729729</v>
      </c>
      <c r="K23">
        <f>+J23/52.143</f>
        <v>10.860466357848557</v>
      </c>
      <c r="L23" s="53">
        <f>+K23*G23*H23</f>
        <v>15034.958114146593</v>
      </c>
    </row>
    <row r="24" spans="3:13" x14ac:dyDescent="0.25">
      <c r="C24" t="s">
        <v>76</v>
      </c>
    </row>
    <row r="25" spans="3:13" ht="15.75" thickBot="1" x14ac:dyDescent="0.3">
      <c r="L25" s="32">
        <f>+L23/100*25</f>
        <v>3758.7395285366483</v>
      </c>
      <c r="M25" t="s">
        <v>112</v>
      </c>
    </row>
    <row r="26" spans="3:13" ht="15.75" thickBot="1" x14ac:dyDescent="0.3">
      <c r="L26" s="54">
        <f>+L25+L23</f>
        <v>18793.697642683241</v>
      </c>
    </row>
    <row r="27" spans="3:13" ht="15.75" thickBot="1" x14ac:dyDescent="0.3">
      <c r="I27" t="s">
        <v>113</v>
      </c>
      <c r="L27" s="53">
        <f>+L26*2</f>
        <v>37587.395285366481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44"/>
  <sheetViews>
    <sheetView topLeftCell="A16" workbookViewId="0">
      <selection activeCell="F25" sqref="F25"/>
    </sheetView>
  </sheetViews>
  <sheetFormatPr defaultRowHeight="15" x14ac:dyDescent="0.25"/>
  <cols>
    <col min="1" max="1" width="4.5703125" customWidth="1"/>
    <col min="4" max="4" width="14.42578125" customWidth="1"/>
    <col min="5" max="5" width="17.28515625" customWidth="1"/>
    <col min="6" max="6" width="18.5703125" customWidth="1"/>
    <col min="7" max="7" width="83.85546875" customWidth="1"/>
    <col min="8" max="8" width="3.7109375" customWidth="1"/>
  </cols>
  <sheetData>
    <row r="3" spans="2:6" ht="23.25" x14ac:dyDescent="0.35">
      <c r="B3" s="6" t="s">
        <v>35</v>
      </c>
    </row>
    <row r="5" spans="2:6" ht="21" x14ac:dyDescent="0.35">
      <c r="B5" s="5" t="s">
        <v>37</v>
      </c>
      <c r="C5" s="5"/>
      <c r="D5" s="5"/>
      <c r="E5" s="7"/>
      <c r="F5" s="8">
        <v>170170</v>
      </c>
    </row>
    <row r="6" spans="2:6" ht="21" x14ac:dyDescent="0.35">
      <c r="B6" s="5"/>
      <c r="C6" s="5"/>
      <c r="D6" s="5"/>
      <c r="E6" s="7"/>
      <c r="F6" s="7"/>
    </row>
    <row r="7" spans="2:6" ht="21" x14ac:dyDescent="0.35">
      <c r="B7" s="5" t="s">
        <v>36</v>
      </c>
      <c r="C7" s="5"/>
      <c r="D7" s="5"/>
      <c r="E7" s="7"/>
      <c r="F7" s="8">
        <v>181332.5</v>
      </c>
    </row>
    <row r="8" spans="2:6" ht="21" x14ac:dyDescent="0.35">
      <c r="B8" s="7"/>
      <c r="C8" s="7"/>
      <c r="D8" s="7"/>
      <c r="E8" s="7"/>
      <c r="F8" s="7"/>
    </row>
    <row r="10" spans="2:6" ht="18.75" x14ac:dyDescent="0.3">
      <c r="B10" s="9" t="s">
        <v>6</v>
      </c>
      <c r="C10" s="9"/>
    </row>
    <row r="11" spans="2:6" ht="18.75" x14ac:dyDescent="0.3">
      <c r="B11" s="9" t="s">
        <v>38</v>
      </c>
      <c r="C11" s="9"/>
    </row>
    <row r="12" spans="2:6" ht="18.75" x14ac:dyDescent="0.3">
      <c r="B12" s="9" t="s">
        <v>7</v>
      </c>
      <c r="C12" s="9"/>
    </row>
    <row r="13" spans="2:6" ht="18.75" x14ac:dyDescent="0.3">
      <c r="B13" s="9" t="s">
        <v>8</v>
      </c>
      <c r="C13" s="9"/>
    </row>
    <row r="14" spans="2:6" ht="18.75" x14ac:dyDescent="0.3">
      <c r="B14" s="9" t="s">
        <v>9</v>
      </c>
      <c r="C14" s="9"/>
    </row>
    <row r="15" spans="2:6" ht="18.75" x14ac:dyDescent="0.3">
      <c r="B15" s="9" t="s">
        <v>10</v>
      </c>
      <c r="C15" s="9"/>
    </row>
    <row r="16" spans="2:6" ht="18.75" x14ac:dyDescent="0.3">
      <c r="B16" s="9"/>
      <c r="C16" s="9"/>
    </row>
    <row r="17" spans="2:9" ht="18.75" x14ac:dyDescent="0.3">
      <c r="B17" s="9" t="s">
        <v>41</v>
      </c>
      <c r="C17" s="9"/>
    </row>
    <row r="18" spans="2:9" ht="18.75" x14ac:dyDescent="0.3">
      <c r="B18" s="9" t="s">
        <v>42</v>
      </c>
      <c r="C18" s="9"/>
    </row>
    <row r="19" spans="2:9" ht="18.75" x14ac:dyDescent="0.3">
      <c r="B19" s="9" t="s">
        <v>43</v>
      </c>
      <c r="C19" s="9"/>
    </row>
    <row r="20" spans="2:9" ht="18.75" x14ac:dyDescent="0.3">
      <c r="C20" s="9"/>
    </row>
    <row r="21" spans="2:9" ht="23.25" x14ac:dyDescent="0.35">
      <c r="B21" s="6" t="s">
        <v>39</v>
      </c>
      <c r="C21" s="9"/>
    </row>
    <row r="22" spans="2:9" ht="10.5" customHeight="1" x14ac:dyDescent="0.3">
      <c r="B22" s="9"/>
      <c r="C22" s="9"/>
      <c r="D22" s="9"/>
      <c r="E22" s="9"/>
      <c r="F22" s="9"/>
      <c r="G22" s="9"/>
      <c r="H22" s="9"/>
      <c r="I22" s="9"/>
    </row>
    <row r="23" spans="2:9" ht="36" customHeight="1" x14ac:dyDescent="0.3">
      <c r="B23" s="28" t="s">
        <v>11</v>
      </c>
      <c r="C23" s="26"/>
      <c r="D23" s="26"/>
      <c r="E23" s="27"/>
      <c r="F23" s="29" t="s">
        <v>12</v>
      </c>
      <c r="G23" s="26" t="s">
        <v>0</v>
      </c>
      <c r="H23" s="27"/>
      <c r="I23" s="9"/>
    </row>
    <row r="24" spans="2:9" ht="24.95" customHeight="1" x14ac:dyDescent="0.3">
      <c r="B24" s="13" t="s">
        <v>34</v>
      </c>
      <c r="C24" s="14"/>
      <c r="D24" s="14"/>
      <c r="E24" s="14"/>
      <c r="F24" s="31">
        <v>19000</v>
      </c>
      <c r="G24" s="10" t="s">
        <v>44</v>
      </c>
      <c r="H24" s="15"/>
      <c r="I24" s="9"/>
    </row>
    <row r="25" spans="2:9" ht="24.95" customHeight="1" x14ac:dyDescent="0.3">
      <c r="B25" s="13" t="s">
        <v>4</v>
      </c>
      <c r="C25" s="14"/>
      <c r="D25" s="17"/>
      <c r="E25" s="14"/>
      <c r="F25" s="31">
        <f>70229+2196+1500</f>
        <v>73925</v>
      </c>
      <c r="G25" s="10" t="s">
        <v>33</v>
      </c>
      <c r="H25" s="15"/>
      <c r="I25" s="9"/>
    </row>
    <row r="26" spans="2:9" ht="24.95" customHeight="1" x14ac:dyDescent="0.3">
      <c r="B26" s="13" t="s">
        <v>1</v>
      </c>
      <c r="C26" s="14"/>
      <c r="D26" s="17"/>
      <c r="E26" s="14"/>
      <c r="F26" s="31">
        <v>13809</v>
      </c>
      <c r="G26" s="10" t="s">
        <v>5</v>
      </c>
      <c r="H26" s="15"/>
      <c r="I26" s="9"/>
    </row>
    <row r="27" spans="2:9" ht="35.25" customHeight="1" x14ac:dyDescent="0.3">
      <c r="B27" s="13" t="s">
        <v>2</v>
      </c>
      <c r="C27" s="14"/>
      <c r="D27" s="17"/>
      <c r="E27" s="14"/>
      <c r="F27" s="31">
        <f>5702.23+209+450+375+500</f>
        <v>7236.23</v>
      </c>
      <c r="G27" s="11" t="s">
        <v>46</v>
      </c>
      <c r="H27" s="15"/>
      <c r="I27" s="9"/>
    </row>
    <row r="28" spans="2:9" ht="24.95" customHeight="1" x14ac:dyDescent="0.3">
      <c r="B28" s="18" t="s">
        <v>27</v>
      </c>
      <c r="C28" s="19"/>
      <c r="D28" s="20"/>
      <c r="E28" s="19"/>
      <c r="F28" s="31">
        <v>6204</v>
      </c>
      <c r="G28" s="12" t="s">
        <v>40</v>
      </c>
      <c r="H28" s="22"/>
      <c r="I28" s="9"/>
    </row>
    <row r="29" spans="2:9" ht="24.95" customHeight="1" x14ac:dyDescent="0.3">
      <c r="B29" s="18" t="s">
        <v>28</v>
      </c>
      <c r="C29" s="19"/>
      <c r="D29" s="20"/>
      <c r="E29" s="19"/>
      <c r="F29" s="31">
        <f>(20289+26789)/2</f>
        <v>23539</v>
      </c>
      <c r="G29" s="12" t="s">
        <v>45</v>
      </c>
      <c r="H29" s="22"/>
      <c r="I29" s="9"/>
    </row>
    <row r="30" spans="2:9" ht="24.95" customHeight="1" x14ac:dyDescent="0.3">
      <c r="B30" s="18" t="s">
        <v>29</v>
      </c>
      <c r="C30" s="19"/>
      <c r="D30" s="20"/>
      <c r="E30" s="19"/>
      <c r="F30" s="31">
        <v>18451</v>
      </c>
      <c r="G30" s="12" t="s">
        <v>31</v>
      </c>
      <c r="H30" s="22"/>
      <c r="I30" s="9"/>
    </row>
    <row r="31" spans="2:9" ht="24.95" customHeight="1" x14ac:dyDescent="0.3">
      <c r="B31" s="18" t="s">
        <v>30</v>
      </c>
      <c r="C31" s="19"/>
      <c r="D31" s="20"/>
      <c r="E31" s="19"/>
      <c r="F31" s="31">
        <v>13184</v>
      </c>
      <c r="G31" s="12" t="s">
        <v>48</v>
      </c>
      <c r="H31" s="22"/>
      <c r="I31" s="9"/>
    </row>
    <row r="32" spans="2:9" ht="24.95" customHeight="1" x14ac:dyDescent="0.3">
      <c r="B32" s="18" t="s">
        <v>32</v>
      </c>
      <c r="C32" s="19"/>
      <c r="D32" s="20"/>
      <c r="E32" s="19"/>
      <c r="F32" s="31">
        <v>4500</v>
      </c>
      <c r="G32" s="12" t="s">
        <v>47</v>
      </c>
      <c r="H32" s="22"/>
      <c r="I32" s="9"/>
    </row>
    <row r="33" spans="2:9" ht="24.95" customHeight="1" x14ac:dyDescent="0.3">
      <c r="B33" s="18"/>
      <c r="C33" s="19"/>
      <c r="D33" s="20"/>
      <c r="E33" s="19"/>
      <c r="F33" s="21"/>
      <c r="G33" s="19"/>
      <c r="H33" s="22"/>
      <c r="I33" s="9"/>
    </row>
    <row r="34" spans="2:9" ht="24.95" customHeight="1" x14ac:dyDescent="0.3">
      <c r="B34" s="18"/>
      <c r="C34" s="19"/>
      <c r="D34" s="20"/>
      <c r="E34" s="19"/>
      <c r="F34" s="21"/>
      <c r="G34" s="19"/>
      <c r="H34" s="22"/>
      <c r="I34" s="9"/>
    </row>
    <row r="35" spans="2:9" ht="24.95" customHeight="1" x14ac:dyDescent="0.3">
      <c r="B35" s="23" t="s">
        <v>3</v>
      </c>
      <c r="C35" s="16"/>
      <c r="D35" s="16"/>
      <c r="E35" s="16"/>
      <c r="F35" s="24">
        <f>SUM(F23:F33)</f>
        <v>179848.22999999998</v>
      </c>
      <c r="G35" s="13"/>
      <c r="H35" s="15"/>
      <c r="I35" s="9"/>
    </row>
    <row r="36" spans="2:9" ht="24.95" customHeight="1" x14ac:dyDescent="0.3">
      <c r="B36" s="9"/>
      <c r="C36" s="9"/>
      <c r="D36" s="9"/>
      <c r="E36" s="9"/>
      <c r="F36" s="9"/>
      <c r="G36" s="9"/>
      <c r="H36" s="9"/>
      <c r="I36" s="9"/>
    </row>
    <row r="37" spans="2:9" ht="24.95" customHeight="1" x14ac:dyDescent="0.3">
      <c r="B37" s="9" t="s">
        <v>13</v>
      </c>
      <c r="C37" s="9"/>
      <c r="D37" s="9"/>
      <c r="E37" s="9"/>
      <c r="F37" s="25">
        <f>+F7-F35</f>
        <v>1484.2700000000186</v>
      </c>
      <c r="G37" s="9"/>
      <c r="H37" s="9"/>
      <c r="I37" s="9"/>
    </row>
    <row r="38" spans="2:9" ht="24.95" customHeight="1" x14ac:dyDescent="0.3">
      <c r="B38" s="9"/>
      <c r="C38" s="9"/>
      <c r="D38" s="9"/>
      <c r="E38" s="9"/>
      <c r="F38" s="9"/>
      <c r="G38" s="9"/>
      <c r="H38" s="9"/>
      <c r="I38" s="9"/>
    </row>
    <row r="39" spans="2:9" ht="24.95" customHeight="1" x14ac:dyDescent="0.3">
      <c r="B39" s="9"/>
      <c r="C39" s="9"/>
      <c r="D39" s="9"/>
      <c r="E39" s="9"/>
      <c r="F39" s="9"/>
      <c r="G39" s="9"/>
      <c r="H39" s="9"/>
      <c r="I39" s="9"/>
    </row>
    <row r="40" spans="2:9" ht="24.95" customHeight="1" x14ac:dyDescent="0.25"/>
    <row r="41" spans="2:9" ht="24.95" customHeight="1" x14ac:dyDescent="0.25"/>
    <row r="42" spans="2:9" ht="24.95" customHeight="1" x14ac:dyDescent="0.25"/>
    <row r="43" spans="2:9" ht="24.95" customHeight="1" x14ac:dyDescent="0.25"/>
    <row r="44" spans="2:9" ht="24.95" customHeight="1" x14ac:dyDescent="0.25"/>
  </sheetData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PP Exp 1819</vt:lpstr>
      <vt:lpstr>PP Expenditure Summary 1718 (2</vt:lpstr>
      <vt:lpstr>Breakfast Costings</vt:lpstr>
      <vt:lpstr>Staff</vt:lpstr>
      <vt:lpstr>Old</vt:lpstr>
      <vt:lpstr>PP Last year 15 16</vt:lpstr>
    </vt:vector>
  </TitlesOfParts>
  <Company>RM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STBREMNERWB</dc:creator>
  <cp:lastModifiedBy>STBREMNERW</cp:lastModifiedBy>
  <cp:lastPrinted>2019-09-23T12:15:18Z</cp:lastPrinted>
  <dcterms:created xsi:type="dcterms:W3CDTF">2013-02-18T15:42:32Z</dcterms:created>
  <dcterms:modified xsi:type="dcterms:W3CDTF">2019-09-25T07:56:37Z</dcterms:modified>
</cp:coreProperties>
</file>